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jælpeskema kontrolberegning 11" sheetId="1" r:id="rId1"/>
  </sheets>
  <externalReferences>
    <externalReference r:id="rId4"/>
    <externalReference r:id="rId5"/>
  </externalReferences>
  <definedNames>
    <definedName name="_xlnm.Print_Area" localSheetId="0">'Hjælpeskema kontrolberegning 11'!$A$1:$N$87</definedName>
    <definedName name="_xlnm.Print_Titles" localSheetId="0">'Hjælpeskema kontrolberegning 11'!$A:$A</definedName>
  </definedNames>
  <calcPr fullCalcOnLoad="1"/>
</workbook>
</file>

<file path=xl/comments1.xml><?xml version="1.0" encoding="utf-8"?>
<comments xmlns="http://schemas.openxmlformats.org/spreadsheetml/2006/main">
  <authors>
    <author>Birgitte B?dker</author>
  </authors>
  <commentList>
    <comment ref="I53" authorId="0">
      <text>
        <r>
          <rPr>
            <b/>
            <sz val="8"/>
            <rFont val="Tahoma"/>
            <family val="2"/>
          </rPr>
          <t>Birgitte Bødker:</t>
        </r>
        <r>
          <rPr>
            <sz val="8"/>
            <rFont val="Tahoma"/>
            <family val="2"/>
          </rPr>
          <t xml:space="preserve">
92 % af visiterede timer
</t>
        </r>
      </text>
    </comment>
    <comment ref="L53" authorId="0">
      <text>
        <r>
          <rPr>
            <b/>
            <sz val="8"/>
            <rFont val="Tahoma"/>
            <family val="2"/>
          </rPr>
          <t>Birgitte Bødker:</t>
        </r>
        <r>
          <rPr>
            <sz val="8"/>
            <rFont val="Tahoma"/>
            <family val="2"/>
          </rPr>
          <t xml:space="preserve">
92 % af visiterede timer
</t>
        </r>
      </text>
    </comment>
  </commentList>
</comments>
</file>

<file path=xl/sharedStrings.xml><?xml version="1.0" encoding="utf-8"?>
<sst xmlns="http://schemas.openxmlformats.org/spreadsheetml/2006/main" count="130" uniqueCount="96">
  <si>
    <t>Øvrigt personale med tilskud</t>
  </si>
  <si>
    <t>Ledelse, inkl. pensioner mv.</t>
  </si>
  <si>
    <t>Løn</t>
  </si>
  <si>
    <t>Direkte henførbare omkostninger</t>
  </si>
  <si>
    <t>Kontorhold</t>
  </si>
  <si>
    <t>Øvrige varekøb</t>
  </si>
  <si>
    <t>Kørselsgodtgørelse</t>
  </si>
  <si>
    <t>Beklædning (inkl. i løn?)</t>
  </si>
  <si>
    <t>Møder, rejser og repræsentation</t>
  </si>
  <si>
    <t>Indirekte henførbare omkostninger</t>
  </si>
  <si>
    <t xml:space="preserve">  Leverede timer hverdag</t>
  </si>
  <si>
    <t xml:space="preserve">   Praktisk hjælp</t>
  </si>
  <si>
    <t xml:space="preserve">   Personlig pleje</t>
  </si>
  <si>
    <t>I alt</t>
  </si>
  <si>
    <t xml:space="preserve">  Leverede timer ubekvemme tider</t>
  </si>
  <si>
    <t xml:space="preserve">    Weekend</t>
  </si>
  <si>
    <t xml:space="preserve">    Aften</t>
  </si>
  <si>
    <t xml:space="preserve">    Nat</t>
  </si>
  <si>
    <t>Timer</t>
  </si>
  <si>
    <t xml:space="preserve">% </t>
  </si>
  <si>
    <t>Kommentarer. Fordelingsprincipper</t>
  </si>
  <si>
    <t>Fordelt på kategorier</t>
  </si>
  <si>
    <t>Dag</t>
  </si>
  <si>
    <t xml:space="preserve">  Arbejdstidsbestemte tillæg</t>
  </si>
  <si>
    <t>Kontrol-kolonne</t>
  </si>
  <si>
    <t>Samlede direkte omkostninger</t>
  </si>
  <si>
    <t>Udgifter</t>
  </si>
  <si>
    <t>%</t>
  </si>
  <si>
    <t>"</t>
  </si>
  <si>
    <t>Fremmøde ATA</t>
  </si>
  <si>
    <t>Subtotal</t>
  </si>
  <si>
    <t>Øvrige omkostninger i alt</t>
  </si>
  <si>
    <t>Totale omkostninger</t>
  </si>
  <si>
    <t>Mellem-regning (timer/ATA)</t>
  </si>
  <si>
    <t xml:space="preserve">Vægtet nøgle. Time-forbrug </t>
  </si>
  <si>
    <r>
      <t xml:space="preserve">Fordelingsnøgle - timeforbrug (fremmødetimer). </t>
    </r>
    <r>
      <rPr>
        <i/>
        <sz val="10"/>
        <rFont val="Arial"/>
        <family val="2"/>
      </rPr>
      <t>Bruges til fordeling af grundløn og andre omkostninger</t>
    </r>
  </si>
  <si>
    <r>
      <t xml:space="preserve">Fordelingsnøgle - leverede timer. </t>
    </r>
    <r>
      <rPr>
        <i/>
        <sz val="10"/>
        <rFont val="Arial"/>
        <family val="2"/>
      </rPr>
      <t>Bruges tilberegning af timepris</t>
    </r>
  </si>
  <si>
    <t>Ubekvem-me</t>
  </si>
  <si>
    <t>Praktisk hjælp</t>
  </si>
  <si>
    <t>Personlig pleje</t>
  </si>
  <si>
    <t>Weekend</t>
  </si>
  <si>
    <t>Nat</t>
  </si>
  <si>
    <t>Vægtet nøgle - ubekvemme</t>
  </si>
  <si>
    <t>Se særskilt beregning nedenfor (stikprøve)</t>
  </si>
  <si>
    <t>Beregning arbejds-bestemt tillæg - fast</t>
  </si>
  <si>
    <t>Beregning arbejds-bestemt tillæg - afløser</t>
  </si>
  <si>
    <t>Do</t>
  </si>
  <si>
    <t>Weekend-tillæg</t>
  </si>
  <si>
    <t>Arbejdsbestemt tillæg forhøjes med en faktor 2. Der anvendes flest vikarer på ubekvemme tider</t>
  </si>
  <si>
    <t>Bemærkninger</t>
  </si>
  <si>
    <t>Husleje, personalelokaler</t>
  </si>
  <si>
    <t>Nøgletal</t>
  </si>
  <si>
    <t>Øvrige direkte omkostninger</t>
  </si>
  <si>
    <t>Pt. udgør øvrige omkostninger 19 % af lønudgifter</t>
  </si>
  <si>
    <t>0,2 % af direkte lønudgifter, jf. hjælpeskema fordeling af omkostninger</t>
  </si>
  <si>
    <t>Samlede indirekte henførbare omkostninger</t>
  </si>
  <si>
    <t>Virksomhed Midt</t>
  </si>
  <si>
    <t>Virksomhed Vest</t>
  </si>
  <si>
    <t>Virksomhed Øst</t>
  </si>
  <si>
    <t xml:space="preserve">Samlet Varde </t>
  </si>
  <si>
    <t>Beregning 2007-tal</t>
  </si>
  <si>
    <t>Priser på hverdage</t>
  </si>
  <si>
    <t>Kontrol-beregning</t>
  </si>
  <si>
    <t>Biler, fælleskonto</t>
  </si>
  <si>
    <t>Subtoal gns. lønandel pr. time</t>
  </si>
  <si>
    <t>Gns. timepris, ekskl. indirekte omkostn.</t>
  </si>
  <si>
    <t>402Fast løn udepersonale</t>
  </si>
  <si>
    <t>415Dagpengeindtægter - refusioner</t>
  </si>
  <si>
    <t>Øvrig personaleudgifter</t>
  </si>
  <si>
    <t>Varde By</t>
  </si>
  <si>
    <t>Varde Land</t>
  </si>
  <si>
    <t>Ubekvemmetider</t>
  </si>
  <si>
    <t>Aften almindelig besøg</t>
  </si>
  <si>
    <t>Forrentning og afskrivning 0,2% af direkte lønudgifter</t>
  </si>
  <si>
    <t>Andel af centrale administrationsudgifter: 1,9% af direkter lønudgifter</t>
  </si>
  <si>
    <t>I alt indirekte henførebare omkostninger</t>
  </si>
  <si>
    <t xml:space="preserve">Uddannelse </t>
  </si>
  <si>
    <t xml:space="preserve">Arbejdsskadeforsikringer  </t>
  </si>
  <si>
    <t>1,46% af lønudgifterne</t>
  </si>
  <si>
    <t>Kontrol-beregning Nord/Øst</t>
  </si>
  <si>
    <t>Kontrol-beregning Midt/Vest</t>
  </si>
  <si>
    <t xml:space="preserve"> </t>
  </si>
  <si>
    <t>Timer (prisfastsættelse dok.nr. 863.130)</t>
  </si>
  <si>
    <t>Visiterede timer Konttrilberegning</t>
  </si>
  <si>
    <t>Hjemme-pleje Nord/øst</t>
  </si>
  <si>
    <t>Hjemme-pleje MidVest</t>
  </si>
  <si>
    <t>Tilpasning prsonale</t>
  </si>
  <si>
    <t>Opskrives med 3% forsyningsikkerhed</t>
  </si>
  <si>
    <t>Frit Valgspriser 2012</t>
  </si>
  <si>
    <t>Vikarløn og bureau</t>
  </si>
  <si>
    <t>Forskel mellem forventet/budgetteret timepris og faktisk timepris i 2012</t>
  </si>
  <si>
    <t>Timepriser 2012</t>
  </si>
  <si>
    <t>sammenligning 2013</t>
  </si>
  <si>
    <t>Timeprisberegning af fritvalgspriser 2012- eksterne priser - udgangspunkt i visiterede timer 2012, kontrolberegning - faktiske udgifter 2012</t>
  </si>
  <si>
    <t>Tillæg sparede midler vikarkonto</t>
  </si>
  <si>
    <t>Kontrolberegning tillæg -0,6%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</si>
</sst>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0.00000"/>
    <numFmt numFmtId="180" formatCode="_(* #,##0.0_);_(* \(#,##0.0\);_(* &quot;-&quot;?_);_(@_)"/>
    <numFmt numFmtId="181" formatCode="0.0%"/>
    <numFmt numFmtId="182" formatCode="0.0000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3" applyNumberFormat="0" applyAlignment="0" applyProtection="0"/>
    <xf numFmtId="0" fontId="11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1" fillId="33" borderId="24" xfId="0" applyFont="1" applyFill="1" applyBorder="1" applyAlignment="1">
      <alignment vertical="center" wrapText="1"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73" fontId="0" fillId="0" borderId="14" xfId="0" applyNumberForma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Alignment="1">
      <alignment/>
    </xf>
    <xf numFmtId="0" fontId="1" fillId="33" borderId="33" xfId="0" applyFont="1" applyFill="1" applyBorder="1" applyAlignment="1">
      <alignment/>
    </xf>
    <xf numFmtId="0" fontId="0" fillId="0" borderId="34" xfId="0" applyBorder="1" applyAlignment="1">
      <alignment/>
    </xf>
    <xf numFmtId="173" fontId="2" fillId="0" borderId="34" xfId="40" applyNumberFormat="1" applyFont="1" applyBorder="1" applyAlignment="1">
      <alignment/>
    </xf>
    <xf numFmtId="0" fontId="2" fillId="0" borderId="11" xfId="0" applyFont="1" applyBorder="1" applyAlignment="1">
      <alignment/>
    </xf>
    <xf numFmtId="173" fontId="0" fillId="0" borderId="34" xfId="40" applyNumberFormat="1" applyFont="1" applyBorder="1" applyAlignment="1">
      <alignment/>
    </xf>
    <xf numFmtId="173" fontId="1" fillId="0" borderId="35" xfId="40" applyNumberFormat="1" applyFont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176" fontId="0" fillId="0" borderId="11" xfId="0" applyNumberFormat="1" applyBorder="1" applyAlignment="1">
      <alignment/>
    </xf>
    <xf numFmtId="176" fontId="1" fillId="0" borderId="22" xfId="0" applyNumberFormat="1" applyFont="1" applyBorder="1" applyAlignment="1">
      <alignment/>
    </xf>
    <xf numFmtId="176" fontId="0" fillId="0" borderId="31" xfId="0" applyNumberFormat="1" applyBorder="1" applyAlignment="1">
      <alignment/>
    </xf>
    <xf numFmtId="176" fontId="2" fillId="0" borderId="31" xfId="0" applyNumberFormat="1" applyFont="1" applyBorder="1" applyAlignment="1">
      <alignment/>
    </xf>
    <xf numFmtId="0" fontId="1" fillId="33" borderId="38" xfId="0" applyFont="1" applyFill="1" applyBorder="1" applyAlignment="1">
      <alignment horizontal="center"/>
    </xf>
    <xf numFmtId="176" fontId="1" fillId="0" borderId="11" xfId="0" applyNumberFormat="1" applyFont="1" applyBorder="1" applyAlignment="1">
      <alignment/>
    </xf>
    <xf numFmtId="173" fontId="0" fillId="0" borderId="14" xfId="40" applyNumberFormat="1" applyFon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3" xfId="4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173" fontId="1" fillId="0" borderId="3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3" fontId="0" fillId="0" borderId="15" xfId="0" applyNumberFormat="1" applyBorder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173" fontId="0" fillId="0" borderId="16" xfId="4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8" xfId="40" applyNumberFormat="1" applyFont="1" applyBorder="1" applyAlignment="1">
      <alignment/>
    </xf>
    <xf numFmtId="173" fontId="0" fillId="0" borderId="12" xfId="0" applyNumberFormat="1" applyBorder="1" applyAlignment="1">
      <alignment/>
    </xf>
    <xf numFmtId="0" fontId="2" fillId="0" borderId="41" xfId="0" applyFont="1" applyBorder="1" applyAlignment="1">
      <alignment/>
    </xf>
    <xf numFmtId="173" fontId="2" fillId="0" borderId="42" xfId="40" applyNumberFormat="1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7" fillId="0" borderId="45" xfId="0" applyFont="1" applyBorder="1" applyAlignment="1">
      <alignment/>
    </xf>
    <xf numFmtId="173" fontId="0" fillId="34" borderId="15" xfId="0" applyNumberFormat="1" applyFill="1" applyBorder="1" applyAlignment="1">
      <alignment/>
    </xf>
    <xf numFmtId="2" fontId="2" fillId="0" borderId="46" xfId="0" applyNumberFormat="1" applyFont="1" applyBorder="1" applyAlignment="1">
      <alignment/>
    </xf>
    <xf numFmtId="171" fontId="2" fillId="0" borderId="44" xfId="0" applyNumberFormat="1" applyFont="1" applyBorder="1" applyAlignment="1">
      <alignment/>
    </xf>
    <xf numFmtId="171" fontId="2" fillId="0" borderId="47" xfId="40" applyNumberFormat="1" applyFont="1" applyBorder="1" applyAlignment="1">
      <alignment/>
    </xf>
    <xf numFmtId="0" fontId="7" fillId="0" borderId="48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173" fontId="0" fillId="0" borderId="17" xfId="0" applyNumberForma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3" fontId="1" fillId="33" borderId="12" xfId="0" applyNumberFormat="1" applyFont="1" applyFill="1" applyBorder="1" applyAlignment="1">
      <alignment/>
    </xf>
    <xf numFmtId="173" fontId="2" fillId="0" borderId="42" xfId="0" applyNumberFormat="1" applyFont="1" applyBorder="1" applyAlignment="1">
      <alignment/>
    </xf>
    <xf numFmtId="0" fontId="1" fillId="0" borderId="11" xfId="0" applyFont="1" applyBorder="1" applyAlignment="1">
      <alignment/>
    </xf>
    <xf numFmtId="176" fontId="1" fillId="0" borderId="31" xfId="0" applyNumberFormat="1" applyFont="1" applyBorder="1" applyAlignment="1">
      <alignment/>
    </xf>
    <xf numFmtId="173" fontId="0" fillId="0" borderId="11" xfId="0" applyNumberFormat="1" applyBorder="1" applyAlignment="1">
      <alignment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173" fontId="1" fillId="0" borderId="22" xfId="0" applyNumberFormat="1" applyFont="1" applyBorder="1" applyAlignment="1">
      <alignment/>
    </xf>
    <xf numFmtId="176" fontId="1" fillId="0" borderId="32" xfId="0" applyNumberFormat="1" applyFont="1" applyBorder="1" applyAlignment="1">
      <alignment/>
    </xf>
    <xf numFmtId="173" fontId="0" fillId="0" borderId="11" xfId="40" applyNumberFormat="1" applyFont="1" applyBorder="1" applyAlignment="1">
      <alignment/>
    </xf>
    <xf numFmtId="173" fontId="1" fillId="0" borderId="51" xfId="0" applyNumberFormat="1" applyFont="1" applyBorder="1" applyAlignment="1">
      <alignment/>
    </xf>
    <xf numFmtId="173" fontId="1" fillId="0" borderId="29" xfId="40" applyNumberFormat="1" applyFont="1" applyBorder="1" applyAlignment="1">
      <alignment/>
    </xf>
    <xf numFmtId="0" fontId="6" fillId="0" borderId="52" xfId="0" applyFont="1" applyBorder="1" applyAlignment="1">
      <alignment/>
    </xf>
    <xf numFmtId="173" fontId="1" fillId="33" borderId="19" xfId="0" applyNumberFormat="1" applyFont="1" applyFill="1" applyBorder="1" applyAlignment="1">
      <alignment/>
    </xf>
    <xf numFmtId="173" fontId="1" fillId="33" borderId="18" xfId="40" applyNumberFormat="1" applyFont="1" applyFill="1" applyBorder="1" applyAlignment="1">
      <alignment/>
    </xf>
    <xf numFmtId="0" fontId="6" fillId="33" borderId="40" xfId="0" applyFont="1" applyFill="1" applyBorder="1" applyAlignment="1">
      <alignment/>
    </xf>
    <xf numFmtId="2" fontId="1" fillId="33" borderId="49" xfId="0" applyNumberFormat="1" applyFont="1" applyFill="1" applyBorder="1" applyAlignment="1">
      <alignment/>
    </xf>
    <xf numFmtId="2" fontId="1" fillId="33" borderId="53" xfId="0" applyNumberFormat="1" applyFont="1" applyFill="1" applyBorder="1" applyAlignment="1">
      <alignment/>
    </xf>
    <xf numFmtId="0" fontId="1" fillId="33" borderId="54" xfId="0" applyFont="1" applyFill="1" applyBorder="1" applyAlignment="1">
      <alignment wrapText="1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3" fontId="1" fillId="0" borderId="22" xfId="40" applyNumberFormat="1" applyFont="1" applyBorder="1" applyAlignment="1">
      <alignment/>
    </xf>
    <xf numFmtId="0" fontId="0" fillId="0" borderId="55" xfId="0" applyBorder="1" applyAlignment="1">
      <alignment/>
    </xf>
    <xf numFmtId="173" fontId="0" fillId="0" borderId="55" xfId="40" applyNumberFormat="1" applyFont="1" applyBorder="1" applyAlignment="1">
      <alignment/>
    </xf>
    <xf numFmtId="180" fontId="0" fillId="0" borderId="55" xfId="0" applyNumberFormat="1" applyBorder="1" applyAlignment="1">
      <alignment/>
    </xf>
    <xf numFmtId="173" fontId="1" fillId="0" borderId="5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57" xfId="0" applyBorder="1" applyAlignment="1">
      <alignment/>
    </xf>
    <xf numFmtId="173" fontId="0" fillId="0" borderId="57" xfId="40" applyNumberFormat="1" applyFont="1" applyBorder="1" applyAlignment="1">
      <alignment/>
    </xf>
    <xf numFmtId="0" fontId="0" fillId="33" borderId="58" xfId="0" applyFill="1" applyBorder="1" applyAlignment="1">
      <alignment/>
    </xf>
    <xf numFmtId="0" fontId="1" fillId="33" borderId="59" xfId="0" applyFont="1" applyFill="1" applyBorder="1" applyAlignment="1">
      <alignment/>
    </xf>
    <xf numFmtId="0" fontId="2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1" fillId="33" borderId="62" xfId="0" applyFont="1" applyFill="1" applyBorder="1" applyAlignment="1">
      <alignment/>
    </xf>
    <xf numFmtId="0" fontId="1" fillId="33" borderId="63" xfId="0" applyFont="1" applyFill="1" applyBorder="1" applyAlignment="1">
      <alignment/>
    </xf>
    <xf numFmtId="173" fontId="0" fillId="0" borderId="34" xfId="0" applyNumberFormat="1" applyBorder="1" applyAlignment="1">
      <alignment/>
    </xf>
    <xf numFmtId="171" fontId="2" fillId="0" borderId="60" xfId="4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2" fontId="2" fillId="0" borderId="64" xfId="0" applyNumberFormat="1" applyFont="1" applyBorder="1" applyAlignment="1">
      <alignment/>
    </xf>
    <xf numFmtId="0" fontId="5" fillId="0" borderId="39" xfId="0" applyFont="1" applyBorder="1" applyAlignment="1">
      <alignment vertical="center" wrapText="1"/>
    </xf>
    <xf numFmtId="0" fontId="0" fillId="0" borderId="65" xfId="0" applyBorder="1" applyAlignment="1">
      <alignment/>
    </xf>
    <xf numFmtId="0" fontId="1" fillId="33" borderId="66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/>
    </xf>
    <xf numFmtId="2" fontId="1" fillId="0" borderId="31" xfId="0" applyNumberFormat="1" applyFont="1" applyBorder="1" applyAlignment="1">
      <alignment/>
    </xf>
    <xf numFmtId="173" fontId="0" fillId="0" borderId="67" xfId="40" applyNumberFormat="1" applyFont="1" applyBorder="1" applyAlignment="1">
      <alignment/>
    </xf>
    <xf numFmtId="2" fontId="0" fillId="0" borderId="65" xfId="0" applyNumberFormat="1" applyBorder="1" applyAlignment="1">
      <alignment/>
    </xf>
    <xf numFmtId="0" fontId="1" fillId="0" borderId="65" xfId="0" applyFont="1" applyBorder="1" applyAlignment="1">
      <alignment/>
    </xf>
    <xf numFmtId="0" fontId="1" fillId="33" borderId="68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/>
    </xf>
    <xf numFmtId="0" fontId="1" fillId="33" borderId="69" xfId="0" applyFont="1" applyFill="1" applyBorder="1" applyAlignment="1">
      <alignment vertical="center" wrapText="1"/>
    </xf>
    <xf numFmtId="0" fontId="0" fillId="0" borderId="69" xfId="0" applyBorder="1" applyAlignment="1">
      <alignment/>
    </xf>
    <xf numFmtId="0" fontId="1" fillId="33" borderId="70" xfId="0" applyFont="1" applyFill="1" applyBorder="1" applyAlignment="1">
      <alignment horizontal="center"/>
    </xf>
    <xf numFmtId="0" fontId="0" fillId="0" borderId="67" xfId="0" applyBorder="1" applyAlignment="1">
      <alignment/>
    </xf>
    <xf numFmtId="173" fontId="2" fillId="0" borderId="67" xfId="40" applyNumberFormat="1" applyFont="1" applyBorder="1" applyAlignment="1">
      <alignment/>
    </xf>
    <xf numFmtId="173" fontId="1" fillId="0" borderId="71" xfId="40" applyNumberFormat="1" applyFont="1" applyBorder="1" applyAlignment="1">
      <alignment/>
    </xf>
    <xf numFmtId="176" fontId="1" fillId="0" borderId="55" xfId="0" applyNumberFormat="1" applyFont="1" applyBorder="1" applyAlignment="1">
      <alignment/>
    </xf>
    <xf numFmtId="176" fontId="0" fillId="0" borderId="55" xfId="0" applyNumberFormat="1" applyBorder="1" applyAlignment="1">
      <alignment/>
    </xf>
    <xf numFmtId="176" fontId="1" fillId="0" borderId="56" xfId="0" applyNumberFormat="1" applyFont="1" applyBorder="1" applyAlignment="1">
      <alignment/>
    </xf>
    <xf numFmtId="0" fontId="1" fillId="33" borderId="72" xfId="0" applyFont="1" applyFill="1" applyBorder="1" applyAlignment="1">
      <alignment horizontal="center" vertical="center" wrapText="1"/>
    </xf>
    <xf numFmtId="2" fontId="0" fillId="0" borderId="55" xfId="0" applyNumberFormat="1" applyBorder="1" applyAlignment="1">
      <alignment/>
    </xf>
    <xf numFmtId="2" fontId="1" fillId="0" borderId="55" xfId="0" applyNumberFormat="1" applyFont="1" applyBorder="1" applyAlignment="1">
      <alignment/>
    </xf>
    <xf numFmtId="2" fontId="0" fillId="0" borderId="68" xfId="0" applyNumberFormat="1" applyBorder="1" applyAlignment="1">
      <alignment/>
    </xf>
    <xf numFmtId="0" fontId="1" fillId="33" borderId="57" xfId="0" applyFont="1" applyFill="1" applyBorder="1" applyAlignment="1">
      <alignment vertical="center" wrapText="1"/>
    </xf>
    <xf numFmtId="0" fontId="0" fillId="0" borderId="73" xfId="0" applyBorder="1" applyAlignment="1">
      <alignment/>
    </xf>
    <xf numFmtId="0" fontId="1" fillId="0" borderId="74" xfId="0" applyFont="1" applyBorder="1" applyAlignment="1">
      <alignment/>
    </xf>
    <xf numFmtId="0" fontId="1" fillId="33" borderId="71" xfId="0" applyFont="1" applyFill="1" applyBorder="1" applyAlignment="1">
      <alignment/>
    </xf>
    <xf numFmtId="0" fontId="1" fillId="33" borderId="75" xfId="0" applyFont="1" applyFill="1" applyBorder="1" applyAlignment="1">
      <alignment horizontal="center" vertical="center" wrapText="1"/>
    </xf>
    <xf numFmtId="2" fontId="0" fillId="0" borderId="67" xfId="0" applyNumberFormat="1" applyBorder="1" applyAlignment="1">
      <alignment/>
    </xf>
    <xf numFmtId="2" fontId="1" fillId="0" borderId="67" xfId="0" applyNumberFormat="1" applyFont="1" applyBorder="1" applyAlignment="1">
      <alignment/>
    </xf>
    <xf numFmtId="0" fontId="1" fillId="33" borderId="68" xfId="0" applyFont="1" applyFill="1" applyBorder="1" applyAlignment="1">
      <alignment horizontal="center"/>
    </xf>
    <xf numFmtId="0" fontId="1" fillId="33" borderId="7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2" fillId="0" borderId="0" xfId="0" applyNumberFormat="1" applyFont="1" applyBorder="1" applyAlignment="1">
      <alignment/>
    </xf>
    <xf numFmtId="0" fontId="1" fillId="0" borderId="77" xfId="0" applyFont="1" applyBorder="1" applyAlignment="1">
      <alignment/>
    </xf>
    <xf numFmtId="0" fontId="1" fillId="0" borderId="55" xfId="0" applyFont="1" applyBorder="1" applyAlignment="1">
      <alignment/>
    </xf>
    <xf numFmtId="173" fontId="0" fillId="0" borderId="55" xfId="0" applyNumberFormat="1" applyBorder="1" applyAlignment="1">
      <alignment/>
    </xf>
    <xf numFmtId="0" fontId="1" fillId="33" borderId="70" xfId="0" applyFont="1" applyFill="1" applyBorder="1" applyAlignment="1">
      <alignment horizontal="center" vertical="center" wrapText="1"/>
    </xf>
    <xf numFmtId="173" fontId="0" fillId="35" borderId="57" xfId="40" applyNumberFormat="1" applyFont="1" applyFill="1" applyBorder="1" applyAlignment="1">
      <alignment/>
    </xf>
    <xf numFmtId="173" fontId="1" fillId="0" borderId="21" xfId="40" applyNumberFormat="1" applyFont="1" applyBorder="1" applyAlignment="1">
      <alignment/>
    </xf>
    <xf numFmtId="0" fontId="0" fillId="36" borderId="78" xfId="0" applyFill="1" applyBorder="1" applyAlignment="1">
      <alignment/>
    </xf>
    <xf numFmtId="173" fontId="0" fillId="36" borderId="78" xfId="0" applyNumberFormat="1" applyFill="1" applyBorder="1" applyAlignment="1">
      <alignment/>
    </xf>
    <xf numFmtId="0" fontId="0" fillId="36" borderId="79" xfId="0" applyFill="1" applyBorder="1" applyAlignment="1">
      <alignment/>
    </xf>
    <xf numFmtId="172" fontId="4" fillId="36" borderId="80" xfId="0" applyNumberFormat="1" applyFont="1" applyFill="1" applyBorder="1" applyAlignment="1">
      <alignment/>
    </xf>
    <xf numFmtId="0" fontId="4" fillId="36" borderId="78" xfId="0" applyFont="1" applyFill="1" applyBorder="1" applyAlignment="1">
      <alignment/>
    </xf>
    <xf numFmtId="0" fontId="1" fillId="33" borderId="38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/>
    </xf>
    <xf numFmtId="173" fontId="2" fillId="36" borderId="14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173" fontId="2" fillId="36" borderId="69" xfId="40" applyNumberFormat="1" applyFont="1" applyFill="1" applyBorder="1" applyAlignment="1">
      <alignment/>
    </xf>
    <xf numFmtId="0" fontId="7" fillId="36" borderId="24" xfId="0" applyFont="1" applyFill="1" applyBorder="1" applyAlignment="1">
      <alignment/>
    </xf>
    <xf numFmtId="0" fontId="2" fillId="0" borderId="81" xfId="0" applyFont="1" applyBorder="1" applyAlignment="1">
      <alignment/>
    </xf>
    <xf numFmtId="0" fontId="2" fillId="36" borderId="41" xfId="0" applyFont="1" applyFill="1" applyBorder="1" applyAlignment="1">
      <alignment/>
    </xf>
    <xf numFmtId="0" fontId="2" fillId="36" borderId="42" xfId="0" applyFont="1" applyFill="1" applyBorder="1" applyAlignment="1">
      <alignment/>
    </xf>
    <xf numFmtId="173" fontId="2" fillId="36" borderId="82" xfId="40" applyNumberFormat="1" applyFont="1" applyFill="1" applyBorder="1" applyAlignment="1">
      <alignment/>
    </xf>
    <xf numFmtId="173" fontId="2" fillId="36" borderId="83" xfId="40" applyNumberFormat="1" applyFont="1" applyFill="1" applyBorder="1" applyAlignment="1">
      <alignment/>
    </xf>
    <xf numFmtId="173" fontId="2" fillId="36" borderId="84" xfId="0" applyNumberFormat="1" applyFont="1" applyFill="1" applyBorder="1" applyAlignment="1">
      <alignment/>
    </xf>
    <xf numFmtId="0" fontId="7" fillId="36" borderId="48" xfId="0" applyFont="1" applyFill="1" applyBorder="1" applyAlignment="1">
      <alignment/>
    </xf>
    <xf numFmtId="173" fontId="2" fillId="36" borderId="57" xfId="0" applyNumberFormat="1" applyFont="1" applyFill="1" applyBorder="1" applyAlignment="1">
      <alignment/>
    </xf>
    <xf numFmtId="173" fontId="2" fillId="36" borderId="15" xfId="0" applyNumberFormat="1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49" xfId="0" applyFont="1" applyFill="1" applyBorder="1" applyAlignment="1">
      <alignment/>
    </xf>
    <xf numFmtId="0" fontId="2" fillId="36" borderId="7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73" fontId="2" fillId="36" borderId="22" xfId="0" applyNumberFormat="1" applyFont="1" applyFill="1" applyBorder="1" applyAlignment="1">
      <alignment/>
    </xf>
    <xf numFmtId="173" fontId="2" fillId="36" borderId="53" xfId="0" applyNumberFormat="1" applyFont="1" applyFill="1" applyBorder="1" applyAlignment="1">
      <alignment/>
    </xf>
    <xf numFmtId="0" fontId="7" fillId="36" borderId="50" xfId="0" applyFont="1" applyFill="1" applyBorder="1" applyAlignment="1">
      <alignment/>
    </xf>
    <xf numFmtId="173" fontId="0" fillId="0" borderId="85" xfId="40" applyNumberFormat="1" applyFont="1" applyBorder="1" applyAlignment="1">
      <alignment/>
    </xf>
    <xf numFmtId="173" fontId="2" fillId="36" borderId="86" xfId="40" applyNumberFormat="1" applyFont="1" applyFill="1" applyBorder="1" applyAlignment="1">
      <alignment/>
    </xf>
    <xf numFmtId="0" fontId="2" fillId="36" borderId="56" xfId="0" applyFont="1" applyFill="1" applyBorder="1" applyAlignment="1">
      <alignment/>
    </xf>
    <xf numFmtId="0" fontId="0" fillId="0" borderId="87" xfId="0" applyBorder="1" applyAlignment="1">
      <alignment/>
    </xf>
    <xf numFmtId="0" fontId="1" fillId="0" borderId="88" xfId="0" applyFont="1" applyBorder="1" applyAlignment="1">
      <alignment/>
    </xf>
    <xf numFmtId="0" fontId="1" fillId="33" borderId="56" xfId="0" applyFont="1" applyFill="1" applyBorder="1" applyAlignment="1">
      <alignment/>
    </xf>
    <xf numFmtId="0" fontId="1" fillId="33" borderId="89" xfId="0" applyFont="1" applyFill="1" applyBorder="1" applyAlignment="1">
      <alignment vertical="center" wrapText="1"/>
    </xf>
    <xf numFmtId="0" fontId="0" fillId="0" borderId="89" xfId="0" applyBorder="1" applyAlignment="1">
      <alignment/>
    </xf>
    <xf numFmtId="173" fontId="1" fillId="0" borderId="89" xfId="0" applyNumberFormat="1" applyFont="1" applyBorder="1" applyAlignment="1">
      <alignment/>
    </xf>
    <xf numFmtId="173" fontId="0" fillId="0" borderId="89" xfId="0" applyNumberForma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0" fillId="0" borderId="92" xfId="0" applyBorder="1" applyAlignment="1">
      <alignment/>
    </xf>
    <xf numFmtId="176" fontId="0" fillId="0" borderId="89" xfId="0" applyNumberFormat="1" applyBorder="1" applyAlignment="1">
      <alignment/>
    </xf>
    <xf numFmtId="0" fontId="0" fillId="0" borderId="93" xfId="0" applyBorder="1" applyAlignment="1">
      <alignment/>
    </xf>
    <xf numFmtId="2" fontId="0" fillId="0" borderId="89" xfId="0" applyNumberFormat="1" applyBorder="1" applyAlignment="1">
      <alignment/>
    </xf>
    <xf numFmtId="173" fontId="0" fillId="0" borderId="93" xfId="40" applyNumberFormat="1" applyFont="1" applyBorder="1" applyAlignment="1">
      <alignment/>
    </xf>
    <xf numFmtId="172" fontId="1" fillId="0" borderId="94" xfId="0" applyNumberFormat="1" applyFont="1" applyBorder="1" applyAlignment="1">
      <alignment/>
    </xf>
    <xf numFmtId="0" fontId="1" fillId="33" borderId="92" xfId="0" applyFont="1" applyFill="1" applyBorder="1" applyAlignment="1">
      <alignment/>
    </xf>
    <xf numFmtId="0" fontId="1" fillId="33" borderId="95" xfId="0" applyFont="1" applyFill="1" applyBorder="1" applyAlignment="1">
      <alignment/>
    </xf>
    <xf numFmtId="173" fontId="0" fillId="0" borderId="96" xfId="40" applyNumberFormat="1" applyFont="1" applyBorder="1" applyAlignment="1">
      <alignment/>
    </xf>
    <xf numFmtId="173" fontId="1" fillId="0" borderId="96" xfId="40" applyNumberFormat="1" applyFont="1" applyBorder="1" applyAlignment="1">
      <alignment/>
    </xf>
    <xf numFmtId="173" fontId="0" fillId="0" borderId="96" xfId="40" applyNumberFormat="1" applyFont="1" applyBorder="1" applyAlignment="1">
      <alignment/>
    </xf>
    <xf numFmtId="173" fontId="2" fillId="0" borderId="97" xfId="0" applyNumberFormat="1" applyFont="1" applyBorder="1" applyAlignment="1">
      <alignment/>
    </xf>
    <xf numFmtId="171" fontId="2" fillId="0" borderId="98" xfId="40" applyNumberFormat="1" applyFont="1" applyBorder="1" applyAlignment="1">
      <alignment/>
    </xf>
    <xf numFmtId="173" fontId="0" fillId="0" borderId="99" xfId="40" applyNumberFormat="1" applyFont="1" applyBorder="1" applyAlignment="1">
      <alignment/>
    </xf>
    <xf numFmtId="173" fontId="0" fillId="0" borderId="100" xfId="40" applyNumberFormat="1" applyFont="1" applyBorder="1" applyAlignment="1">
      <alignment/>
    </xf>
    <xf numFmtId="173" fontId="0" fillId="0" borderId="96" xfId="0" applyNumberFormat="1" applyBorder="1" applyAlignment="1">
      <alignment/>
    </xf>
    <xf numFmtId="173" fontId="2" fillId="36" borderId="97" xfId="40" applyNumberFormat="1" applyFont="1" applyFill="1" applyBorder="1" applyAlignment="1">
      <alignment/>
    </xf>
    <xf numFmtId="173" fontId="2" fillId="36" borderId="101" xfId="40" applyNumberFormat="1" applyFont="1" applyFill="1" applyBorder="1" applyAlignment="1">
      <alignment/>
    </xf>
    <xf numFmtId="173" fontId="2" fillId="36" borderId="96" xfId="0" applyNumberFormat="1" applyFont="1" applyFill="1" applyBorder="1" applyAlignment="1">
      <alignment/>
    </xf>
    <xf numFmtId="176" fontId="2" fillId="36" borderId="35" xfId="0" applyNumberFormat="1" applyFont="1" applyFill="1" applyBorder="1" applyAlignment="1">
      <alignment/>
    </xf>
    <xf numFmtId="171" fontId="2" fillId="36" borderId="32" xfId="0" applyNumberFormat="1" applyFont="1" applyFill="1" applyBorder="1" applyAlignment="1">
      <alignment/>
    </xf>
    <xf numFmtId="173" fontId="1" fillId="0" borderId="102" xfId="0" applyNumberFormat="1" applyFont="1" applyBorder="1" applyAlignment="1">
      <alignment/>
    </xf>
    <xf numFmtId="173" fontId="1" fillId="33" borderId="99" xfId="0" applyNumberFormat="1" applyFont="1" applyFill="1" applyBorder="1" applyAlignment="1">
      <alignment/>
    </xf>
    <xf numFmtId="173" fontId="1" fillId="33" borderId="103" xfId="0" applyNumberFormat="1" applyFont="1" applyFill="1" applyBorder="1" applyAlignment="1">
      <alignment/>
    </xf>
    <xf numFmtId="2" fontId="1" fillId="33" borderId="35" xfId="0" applyNumberFormat="1" applyFont="1" applyFill="1" applyBorder="1" applyAlignment="1">
      <alignment/>
    </xf>
    <xf numFmtId="2" fontId="1" fillId="37" borderId="32" xfId="0" applyNumberFormat="1" applyFont="1" applyFill="1" applyBorder="1" applyAlignment="1">
      <alignment/>
    </xf>
    <xf numFmtId="0" fontId="1" fillId="33" borderId="96" xfId="0" applyFont="1" applyFill="1" applyBorder="1" applyAlignment="1">
      <alignment horizontal="center" vertical="center" wrapText="1"/>
    </xf>
    <xf numFmtId="173" fontId="1" fillId="35" borderId="104" xfId="40" applyNumberFormat="1" applyFont="1" applyFill="1" applyBorder="1" applyAlignment="1">
      <alignment/>
    </xf>
    <xf numFmtId="173" fontId="0" fillId="35" borderId="104" xfId="40" applyNumberFormat="1" applyFont="1" applyFill="1" applyBorder="1" applyAlignment="1">
      <alignment/>
    </xf>
    <xf numFmtId="173" fontId="0" fillId="35" borderId="104" xfId="40" applyNumberFormat="1" applyFont="1" applyFill="1" applyBorder="1" applyAlignment="1">
      <alignment/>
    </xf>
    <xf numFmtId="173" fontId="2" fillId="35" borderId="101" xfId="0" applyNumberFormat="1" applyFont="1" applyFill="1" applyBorder="1" applyAlignment="1">
      <alignment/>
    </xf>
    <xf numFmtId="171" fontId="2" fillId="35" borderId="105" xfId="0" applyNumberFormat="1" applyFont="1" applyFill="1" applyBorder="1" applyAlignment="1">
      <alignment/>
    </xf>
    <xf numFmtId="171" fontId="2" fillId="35" borderId="31" xfId="40" applyNumberFormat="1" applyFont="1" applyFill="1" applyBorder="1" applyAlignment="1">
      <alignment/>
    </xf>
    <xf numFmtId="173" fontId="0" fillId="35" borderId="103" xfId="40" applyNumberFormat="1" applyFont="1" applyFill="1" applyBorder="1" applyAlignment="1">
      <alignment/>
    </xf>
    <xf numFmtId="173" fontId="0" fillId="35" borderId="106" xfId="40" applyNumberFormat="1" applyFont="1" applyFill="1" applyBorder="1" applyAlignment="1">
      <alignment/>
    </xf>
    <xf numFmtId="173" fontId="0" fillId="35" borderId="104" xfId="0" applyNumberFormat="1" applyFill="1" applyBorder="1" applyAlignment="1">
      <alignment/>
    </xf>
    <xf numFmtId="173" fontId="1" fillId="35" borderId="107" xfId="0" applyNumberFormat="1" applyFont="1" applyFill="1" applyBorder="1" applyAlignment="1">
      <alignment/>
    </xf>
    <xf numFmtId="0" fontId="8" fillId="35" borderId="57" xfId="0" applyFont="1" applyFill="1" applyBorder="1" applyAlignment="1">
      <alignment/>
    </xf>
    <xf numFmtId="173" fontId="0" fillId="35" borderId="57" xfId="0" applyNumberFormat="1" applyFont="1" applyFill="1" applyBorder="1" applyAlignment="1">
      <alignment horizontal="center"/>
    </xf>
    <xf numFmtId="173" fontId="0" fillId="35" borderId="57" xfId="0" applyNumberFormat="1" applyFill="1" applyBorder="1" applyAlignment="1">
      <alignment/>
    </xf>
    <xf numFmtId="0" fontId="0" fillId="35" borderId="57" xfId="0" applyFill="1" applyBorder="1" applyAlignment="1">
      <alignment/>
    </xf>
    <xf numFmtId="173" fontId="2" fillId="35" borderId="42" xfId="0" applyNumberFormat="1" applyFont="1" applyFill="1" applyBorder="1" applyAlignment="1">
      <alignment/>
    </xf>
    <xf numFmtId="0" fontId="2" fillId="35" borderId="108" xfId="0" applyFont="1" applyFill="1" applyBorder="1" applyAlignment="1">
      <alignment/>
    </xf>
    <xf numFmtId="0" fontId="2" fillId="35" borderId="67" xfId="0" applyFont="1" applyFill="1" applyBorder="1" applyAlignment="1">
      <alignment/>
    </xf>
    <xf numFmtId="0" fontId="0" fillId="35" borderId="109" xfId="0" applyFill="1" applyBorder="1" applyAlignment="1">
      <alignment/>
    </xf>
    <xf numFmtId="173" fontId="0" fillId="35" borderId="73" xfId="4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173" fontId="1" fillId="35" borderId="14" xfId="0" applyNumberFormat="1" applyFont="1" applyFill="1" applyBorder="1" applyAlignment="1">
      <alignment/>
    </xf>
    <xf numFmtId="173" fontId="0" fillId="35" borderId="14" xfId="0" applyNumberFormat="1" applyFill="1" applyBorder="1" applyAlignment="1">
      <alignment/>
    </xf>
    <xf numFmtId="0" fontId="2" fillId="35" borderId="44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69" xfId="0" applyFill="1" applyBorder="1" applyAlignment="1">
      <alignment/>
    </xf>
    <xf numFmtId="173" fontId="1" fillId="35" borderId="69" xfId="0" applyNumberFormat="1" applyFont="1" applyFill="1" applyBorder="1" applyAlignment="1">
      <alignment/>
    </xf>
    <xf numFmtId="173" fontId="0" fillId="35" borderId="69" xfId="0" applyNumberFormat="1" applyFill="1" applyBorder="1" applyAlignment="1">
      <alignment/>
    </xf>
    <xf numFmtId="173" fontId="0" fillId="35" borderId="69" xfId="40" applyNumberFormat="1" applyFont="1" applyFill="1" applyBorder="1" applyAlignment="1">
      <alignment/>
    </xf>
    <xf numFmtId="0" fontId="2" fillId="35" borderId="110" xfId="0" applyFont="1" applyFill="1" applyBorder="1" applyAlignment="1">
      <alignment/>
    </xf>
    <xf numFmtId="0" fontId="2" fillId="35" borderId="55" xfId="0" applyFont="1" applyFill="1" applyBorder="1" applyAlignment="1">
      <alignment/>
    </xf>
    <xf numFmtId="0" fontId="0" fillId="35" borderId="111" xfId="0" applyFill="1" applyBorder="1" applyAlignment="1">
      <alignment/>
    </xf>
    <xf numFmtId="173" fontId="0" fillId="35" borderId="87" xfId="40" applyNumberFormat="1" applyFont="1" applyFill="1" applyBorder="1" applyAlignment="1">
      <alignment/>
    </xf>
    <xf numFmtId="0" fontId="0" fillId="35" borderId="67" xfId="0" applyFill="1" applyBorder="1" applyAlignment="1">
      <alignment/>
    </xf>
    <xf numFmtId="173" fontId="2" fillId="35" borderId="67" xfId="40" applyNumberFormat="1" applyFont="1" applyFill="1" applyBorder="1" applyAlignment="1">
      <alignment/>
    </xf>
    <xf numFmtId="173" fontId="0" fillId="35" borderId="67" xfId="0" applyNumberFormat="1" applyFill="1" applyBorder="1" applyAlignment="1">
      <alignment/>
    </xf>
    <xf numFmtId="173" fontId="1" fillId="35" borderId="22" xfId="40" applyNumberFormat="1" applyFont="1" applyFill="1" applyBorder="1" applyAlignment="1">
      <alignment/>
    </xf>
    <xf numFmtId="173" fontId="0" fillId="0" borderId="112" xfId="40" applyNumberFormat="1" applyFont="1" applyBorder="1" applyAlignment="1">
      <alignment/>
    </xf>
    <xf numFmtId="173" fontId="0" fillId="35" borderId="44" xfId="40" applyNumberFormat="1" applyFont="1" applyFill="1" applyBorder="1" applyAlignment="1">
      <alignment/>
    </xf>
    <xf numFmtId="173" fontId="0" fillId="35" borderId="105" xfId="40" applyNumberFormat="1" applyFont="1" applyFill="1" applyBorder="1" applyAlignment="1">
      <alignment/>
    </xf>
    <xf numFmtId="173" fontId="2" fillId="36" borderId="71" xfId="0" applyNumberFormat="1" applyFont="1" applyFill="1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176" fontId="2" fillId="36" borderId="115" xfId="0" applyNumberFormat="1" applyFont="1" applyFill="1" applyBorder="1" applyAlignment="1">
      <alignment/>
    </xf>
    <xf numFmtId="0" fontId="2" fillId="36" borderId="113" xfId="0" applyFont="1" applyFill="1" applyBorder="1" applyAlignment="1">
      <alignment/>
    </xf>
    <xf numFmtId="0" fontId="2" fillId="36" borderId="116" xfId="0" applyFont="1" applyFill="1" applyBorder="1" applyAlignment="1">
      <alignment/>
    </xf>
    <xf numFmtId="0" fontId="3" fillId="33" borderId="104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61" xfId="0" applyBorder="1" applyAlignment="1">
      <alignment/>
    </xf>
    <xf numFmtId="0" fontId="5" fillId="0" borderId="10" xfId="0" applyFont="1" applyBorder="1" applyAlignment="1">
      <alignment/>
    </xf>
    <xf numFmtId="3" fontId="0" fillId="0" borderId="96" xfId="40" applyNumberFormat="1" applyFont="1" applyBorder="1" applyAlignment="1">
      <alignment/>
    </xf>
    <xf numFmtId="3" fontId="0" fillId="0" borderId="96" xfId="40" applyNumberFormat="1" applyFont="1" applyBorder="1" applyAlignment="1">
      <alignment/>
    </xf>
    <xf numFmtId="3" fontId="0" fillId="0" borderId="96" xfId="0" applyNumberFormat="1" applyBorder="1" applyAlignment="1">
      <alignment/>
    </xf>
    <xf numFmtId="173" fontId="4" fillId="35" borderId="67" xfId="40" applyNumberFormat="1" applyFont="1" applyFill="1" applyBorder="1" applyAlignment="1">
      <alignment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1" fillId="33" borderId="119" xfId="0" applyFont="1" applyFill="1" applyBorder="1" applyAlignment="1">
      <alignment horizontal="center" vertical="center" wrapText="1"/>
    </xf>
    <xf numFmtId="2" fontId="1" fillId="0" borderId="65" xfId="0" applyNumberFormat="1" applyFont="1" applyBorder="1" applyAlignment="1">
      <alignment/>
    </xf>
    <xf numFmtId="0" fontId="0" fillId="0" borderId="120" xfId="0" applyBorder="1" applyAlignment="1">
      <alignment/>
    </xf>
    <xf numFmtId="0" fontId="1" fillId="33" borderId="121" xfId="0" applyFont="1" applyFill="1" applyBorder="1" applyAlignment="1">
      <alignment horizontal="center" vertical="center" wrapText="1"/>
    </xf>
    <xf numFmtId="2" fontId="0" fillId="0" borderId="61" xfId="0" applyNumberFormat="1" applyBorder="1" applyAlignment="1">
      <alignment/>
    </xf>
    <xf numFmtId="2" fontId="1" fillId="0" borderId="61" xfId="0" applyNumberFormat="1" applyFont="1" applyBorder="1" applyAlignment="1">
      <alignment/>
    </xf>
    <xf numFmtId="0" fontId="1" fillId="33" borderId="117" xfId="0" applyFont="1" applyFill="1" applyBorder="1" applyAlignment="1">
      <alignment horizontal="center" vertical="center" wrapText="1"/>
    </xf>
    <xf numFmtId="0" fontId="0" fillId="0" borderId="122" xfId="0" applyBorder="1" applyAlignment="1">
      <alignment/>
    </xf>
    <xf numFmtId="0" fontId="0" fillId="0" borderId="121" xfId="0" applyBorder="1" applyAlignment="1">
      <alignment/>
    </xf>
    <xf numFmtId="2" fontId="0" fillId="0" borderId="120" xfId="0" applyNumberFormat="1" applyBorder="1" applyAlignment="1">
      <alignment/>
    </xf>
    <xf numFmtId="2" fontId="0" fillId="0" borderId="117" xfId="0" applyNumberFormat="1" applyBorder="1" applyAlignment="1">
      <alignment/>
    </xf>
    <xf numFmtId="2" fontId="0" fillId="0" borderId="70" xfId="0" applyNumberFormat="1" applyBorder="1" applyAlignment="1">
      <alignment/>
    </xf>
    <xf numFmtId="0" fontId="0" fillId="0" borderId="119" xfId="0" applyBorder="1" applyAlignment="1">
      <alignment/>
    </xf>
    <xf numFmtId="0" fontId="0" fillId="33" borderId="119" xfId="0" applyFont="1" applyFill="1" applyBorder="1" applyAlignment="1">
      <alignment/>
    </xf>
    <xf numFmtId="0" fontId="0" fillId="33" borderId="121" xfId="0" applyFont="1" applyFill="1" applyBorder="1" applyAlignment="1">
      <alignment/>
    </xf>
    <xf numFmtId="0" fontId="1" fillId="33" borderId="38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2" fontId="0" fillId="33" borderId="34" xfId="0" applyNumberFormat="1" applyFont="1" applyFill="1" applyBorder="1" applyAlignment="1">
      <alignment/>
    </xf>
    <xf numFmtId="2" fontId="0" fillId="33" borderId="31" xfId="0" applyNumberFormat="1" applyFont="1" applyFill="1" applyBorder="1" applyAlignment="1">
      <alignment/>
    </xf>
    <xf numFmtId="2" fontId="1" fillId="33" borderId="34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118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2" fontId="0" fillId="33" borderId="65" xfId="0" applyNumberFormat="1" applyFont="1" applyFill="1" applyBorder="1" applyAlignment="1">
      <alignment/>
    </xf>
    <xf numFmtId="2" fontId="0" fillId="33" borderId="61" xfId="0" applyNumberFormat="1" applyFont="1" applyFill="1" applyBorder="1" applyAlignment="1">
      <alignment/>
    </xf>
    <xf numFmtId="2" fontId="0" fillId="33" borderId="120" xfId="0" applyNumberFormat="1" applyFont="1" applyFill="1" applyBorder="1" applyAlignment="1">
      <alignment/>
    </xf>
    <xf numFmtId="0" fontId="5" fillId="0" borderId="61" xfId="0" applyFont="1" applyBorder="1" applyAlignment="1">
      <alignment horizontal="center" vertical="center" wrapText="1"/>
    </xf>
    <xf numFmtId="0" fontId="0" fillId="0" borderId="25" xfId="0" applyFill="1" applyBorder="1" applyAlignment="1">
      <alignment wrapText="1"/>
    </xf>
    <xf numFmtId="0" fontId="0" fillId="0" borderId="25" xfId="0" applyFont="1" applyBorder="1" applyAlignment="1">
      <alignment wrapText="1"/>
    </xf>
    <xf numFmtId="0" fontId="2" fillId="0" borderId="26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96" xfId="0" applyNumberFormat="1" applyFont="1" applyBorder="1" applyAlignment="1">
      <alignment/>
    </xf>
    <xf numFmtId="3" fontId="0" fillId="0" borderId="34" xfId="0" applyNumberFormat="1" applyBorder="1" applyAlignment="1">
      <alignment wrapText="1"/>
    </xf>
    <xf numFmtId="173" fontId="0" fillId="35" borderId="96" xfId="40" applyNumberFormat="1" applyFont="1" applyFill="1" applyBorder="1" applyAlignment="1">
      <alignment/>
    </xf>
    <xf numFmtId="173" fontId="1" fillId="35" borderId="96" xfId="0" applyNumberFormat="1" applyFont="1" applyFill="1" applyBorder="1" applyAlignment="1">
      <alignment/>
    </xf>
    <xf numFmtId="3" fontId="0" fillId="35" borderId="34" xfId="0" applyNumberFormat="1" applyFill="1" applyBorder="1" applyAlignment="1">
      <alignment wrapText="1"/>
    </xf>
    <xf numFmtId="173" fontId="0" fillId="35" borderId="57" xfId="40" applyNumberFormat="1" applyFont="1" applyFill="1" applyBorder="1" applyAlignment="1">
      <alignment/>
    </xf>
    <xf numFmtId="173" fontId="0" fillId="0" borderId="57" xfId="0" applyNumberFormat="1" applyBorder="1" applyAlignment="1">
      <alignment/>
    </xf>
    <xf numFmtId="173" fontId="1" fillId="0" borderId="73" xfId="0" applyNumberFormat="1" applyFont="1" applyBorder="1" applyAlignment="1">
      <alignment/>
    </xf>
    <xf numFmtId="173" fontId="1" fillId="33" borderId="109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173" fontId="0" fillId="35" borderId="69" xfId="40" applyNumberFormat="1" applyFont="1" applyFill="1" applyBorder="1" applyAlignment="1">
      <alignment/>
    </xf>
    <xf numFmtId="173" fontId="0" fillId="0" borderId="69" xfId="0" applyNumberFormat="1" applyBorder="1" applyAlignment="1">
      <alignment/>
    </xf>
    <xf numFmtId="173" fontId="1" fillId="0" borderId="69" xfId="0" applyNumberFormat="1" applyFont="1" applyBorder="1" applyAlignment="1">
      <alignment/>
    </xf>
    <xf numFmtId="173" fontId="1" fillId="33" borderId="111" xfId="0" applyNumberFormat="1" applyFont="1" applyFill="1" applyBorder="1" applyAlignment="1">
      <alignment/>
    </xf>
    <xf numFmtId="0" fontId="1" fillId="33" borderId="123" xfId="0" applyFont="1" applyFill="1" applyBorder="1" applyAlignment="1">
      <alignment horizontal="center"/>
    </xf>
    <xf numFmtId="0" fontId="1" fillId="33" borderId="124" xfId="0" applyFont="1" applyFill="1" applyBorder="1" applyAlignment="1">
      <alignment horizontal="center"/>
    </xf>
    <xf numFmtId="0" fontId="1" fillId="33" borderId="125" xfId="0" applyFont="1" applyFill="1" applyBorder="1" applyAlignment="1">
      <alignment horizontal="center"/>
    </xf>
    <xf numFmtId="0" fontId="1" fillId="33" borderId="126" xfId="0" applyFont="1" applyFill="1" applyBorder="1" applyAlignment="1">
      <alignment horizontal="center"/>
    </xf>
    <xf numFmtId="0" fontId="1" fillId="33" borderId="127" xfId="0" applyFont="1" applyFill="1" applyBorder="1" applyAlignment="1">
      <alignment horizontal="center"/>
    </xf>
    <xf numFmtId="0" fontId="1" fillId="33" borderId="128" xfId="0" applyFont="1" applyFill="1" applyBorder="1" applyAlignment="1">
      <alignment horizontal="center"/>
    </xf>
    <xf numFmtId="0" fontId="1" fillId="33" borderId="129" xfId="0" applyFont="1" applyFill="1" applyBorder="1" applyAlignment="1">
      <alignment horizontal="center"/>
    </xf>
    <xf numFmtId="0" fontId="1" fillId="33" borderId="130" xfId="0" applyFont="1" applyFill="1" applyBorder="1" applyAlignment="1">
      <alignment horizontal="center"/>
    </xf>
    <xf numFmtId="0" fontId="1" fillId="33" borderId="131" xfId="0" applyFont="1" applyFill="1" applyBorder="1" applyAlignment="1">
      <alignment horizontal="center"/>
    </xf>
    <xf numFmtId="0" fontId="1" fillId="33" borderId="132" xfId="0" applyFont="1" applyFill="1" applyBorder="1" applyAlignment="1">
      <alignment horizontal="center"/>
    </xf>
    <xf numFmtId="0" fontId="0" fillId="0" borderId="55" xfId="0" applyBorder="1" applyAlignment="1">
      <alignment wrapText="1"/>
    </xf>
    <xf numFmtId="0" fontId="0" fillId="0" borderId="61" xfId="0" applyBorder="1" applyAlignment="1">
      <alignment wrapText="1"/>
    </xf>
    <xf numFmtId="0" fontId="1" fillId="33" borderId="68" xfId="0" applyFont="1" applyFill="1" applyBorder="1" applyAlignment="1">
      <alignment horizontal="center" wrapText="1"/>
    </xf>
    <xf numFmtId="0" fontId="0" fillId="0" borderId="117" xfId="0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0" xfId="0" applyBorder="1" applyAlignment="1">
      <alignment wrapText="1"/>
    </xf>
    <xf numFmtId="0" fontId="3" fillId="0" borderId="0" xfId="0" applyFont="1" applyAlignment="1">
      <alignment horizontal="center"/>
    </xf>
    <xf numFmtId="0" fontId="0" fillId="33" borderId="122" xfId="0" applyFont="1" applyFill="1" applyBorder="1" applyAlignment="1">
      <alignment horizontal="center"/>
    </xf>
    <xf numFmtId="0" fontId="0" fillId="33" borderId="121" xfId="0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\Lokale%20indstillinger\Temporary%20Internet%20Files\OLK13\Beregning%20af%20gennemsnitstimel&#248;n%20april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ktuelle%20kunder\Ny%20Varde\Projekt%202007\Fritvalgsomr&#229;det\Resultater\Grundregistrering%20fritvalgsomr&#229;det%200206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3">
          <cell r="L13">
            <v>4.557132779037612</v>
          </cell>
        </row>
        <row r="20">
          <cell r="L20">
            <v>23.475356726066767</v>
          </cell>
        </row>
        <row r="25">
          <cell r="L25">
            <v>21.22110043269025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rksomhed Midt"/>
      <sheetName val="Bilag 1 - Virksomhed Midt"/>
      <sheetName val="Bilag 2 - Virksomhed Midt"/>
      <sheetName val="Virksomhed Vest"/>
      <sheetName val="Bilag 1 - Virksomhed Vest"/>
      <sheetName val="Bilag 2 Virksomhed Vest"/>
      <sheetName val="Virksomhed Øst"/>
      <sheetName val="Bilag 1 - Virksomhed Øst"/>
      <sheetName val="Bilag 2 - Virksomhed Øst"/>
      <sheetName val="Nat - Fritvalgsområdet"/>
      <sheetName val="Bilag 1 - Nat"/>
      <sheetName val="Bilag 2 - Nat"/>
      <sheetName val="Samlet bilag 1"/>
      <sheetName val="Samlet bilag 2"/>
      <sheetName val="Visiterede timer"/>
      <sheetName val="Sammenligning 2006 - 07"/>
      <sheetName val="Ark2"/>
      <sheetName val="Ark1"/>
    </sheetNames>
    <sheetDataSet>
      <sheetData sheetId="2">
        <row r="10">
          <cell r="L10">
            <v>1105.58436339692</v>
          </cell>
        </row>
        <row r="16">
          <cell r="L16">
            <v>245.4284846962509</v>
          </cell>
        </row>
        <row r="22">
          <cell r="L22">
            <v>387.7748486499879</v>
          </cell>
        </row>
      </sheetData>
      <sheetData sheetId="5">
        <row r="10">
          <cell r="L10">
            <v>1024.5642703502333</v>
          </cell>
        </row>
        <row r="16">
          <cell r="L16">
            <v>235.08039049034178</v>
          </cell>
        </row>
        <row r="22">
          <cell r="L22">
            <v>368.0249685230384</v>
          </cell>
        </row>
      </sheetData>
      <sheetData sheetId="8">
        <row r="10">
          <cell r="L10">
            <v>951.5333735108073</v>
          </cell>
        </row>
        <row r="16">
          <cell r="L16">
            <v>230.49066691390075</v>
          </cell>
        </row>
        <row r="22">
          <cell r="L22">
            <v>333.98616295424273</v>
          </cell>
        </row>
      </sheetData>
      <sheetData sheetId="11">
        <row r="18">
          <cell r="L18">
            <v>451.65999857453966</v>
          </cell>
        </row>
      </sheetData>
      <sheetData sheetId="12">
        <row r="10">
          <cell r="C10">
            <v>66.19157032535006</v>
          </cell>
        </row>
        <row r="15">
          <cell r="C15">
            <v>64.13960867265996</v>
          </cell>
        </row>
        <row r="20">
          <cell r="C20">
            <v>55.142357693615295</v>
          </cell>
        </row>
        <row r="22">
          <cell r="C22">
            <v>31.229909689269856</v>
          </cell>
        </row>
        <row r="24">
          <cell r="C24">
            <v>61.92484341772418</v>
          </cell>
        </row>
      </sheetData>
      <sheetData sheetId="13">
        <row r="6">
          <cell r="G6">
            <v>30446.768050580104</v>
          </cell>
        </row>
        <row r="7">
          <cell r="G7">
            <v>75670.52065277753</v>
          </cell>
        </row>
        <row r="16">
          <cell r="G16">
            <v>25647.65435789196</v>
          </cell>
        </row>
        <row r="22">
          <cell r="G22">
            <v>31229.448698912212</v>
          </cell>
        </row>
        <row r="28">
          <cell r="O28">
            <v>97.57</v>
          </cell>
          <cell r="R28">
            <v>51.56999999999999</v>
          </cell>
          <cell r="U28">
            <v>57.2</v>
          </cell>
          <cell r="X28">
            <v>206.33999999999997</v>
          </cell>
        </row>
        <row r="31">
          <cell r="G31">
            <v>7334.7565021840865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N97"/>
  <sheetViews>
    <sheetView showGridLines="0" tabSelected="1" view="pageLayout" workbookViewId="0" topLeftCell="A1">
      <selection activeCell="D78" sqref="D78:E78"/>
    </sheetView>
  </sheetViews>
  <sheetFormatPr defaultColWidth="9.140625" defaultRowHeight="12.75" outlineLevelRow="1"/>
  <cols>
    <col min="1" max="1" width="39.57421875" style="0" customWidth="1"/>
    <col min="2" max="3" width="11.8515625" style="0" customWidth="1"/>
    <col min="4" max="5" width="12.140625" style="0" customWidth="1"/>
    <col min="6" max="7" width="11.57421875" style="0" customWidth="1"/>
    <col min="8" max="8" width="12.28125" style="0" customWidth="1"/>
    <col min="9" max="9" width="11.57421875" style="0" customWidth="1"/>
    <col min="10" max="10" width="13.8515625" style="0" customWidth="1"/>
    <col min="11" max="11" width="11.57421875" style="0" customWidth="1"/>
    <col min="12" max="12" width="11.8515625" style="0" customWidth="1"/>
    <col min="13" max="13" width="12.140625" style="0" customWidth="1"/>
    <col min="14" max="14" width="40.7109375" style="0" customWidth="1"/>
  </cols>
  <sheetData>
    <row r="1" spans="1:12" s="1" customFormat="1" ht="15.75">
      <c r="A1" s="366" t="s">
        <v>93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ht="13.5" thickBot="1"/>
    <row r="3" spans="1:14" ht="12.75">
      <c r="A3" s="121"/>
      <c r="B3" s="344" t="s">
        <v>26</v>
      </c>
      <c r="C3" s="347"/>
      <c r="D3" s="345"/>
      <c r="E3" s="345"/>
      <c r="F3" s="345"/>
      <c r="G3" s="345"/>
      <c r="H3" s="345"/>
      <c r="I3" s="348"/>
      <c r="J3" s="346"/>
      <c r="K3" s="344" t="s">
        <v>21</v>
      </c>
      <c r="L3" s="345"/>
      <c r="M3" s="346"/>
      <c r="N3" s="21"/>
    </row>
    <row r="4" spans="1:14" s="1" customFormat="1" ht="53.25" customHeight="1">
      <c r="A4" s="122"/>
      <c r="B4" s="6" t="s">
        <v>84</v>
      </c>
      <c r="C4" s="154" t="s">
        <v>79</v>
      </c>
      <c r="D4" s="7"/>
      <c r="E4" s="7"/>
      <c r="F4" s="7" t="s">
        <v>85</v>
      </c>
      <c r="G4" s="141" t="s">
        <v>80</v>
      </c>
      <c r="H4" s="238" t="s">
        <v>13</v>
      </c>
      <c r="I4" s="285" t="s">
        <v>62</v>
      </c>
      <c r="J4" s="206" t="s">
        <v>51</v>
      </c>
      <c r="K4" s="6" t="s">
        <v>22</v>
      </c>
      <c r="L4" s="7" t="s">
        <v>37</v>
      </c>
      <c r="M4" s="8" t="s">
        <v>24</v>
      </c>
      <c r="N4" s="22" t="s">
        <v>20</v>
      </c>
    </row>
    <row r="5" spans="1:14" ht="12.75">
      <c r="A5" s="23" t="s">
        <v>3</v>
      </c>
      <c r="B5" s="9"/>
      <c r="C5" s="249"/>
      <c r="D5" s="10"/>
      <c r="E5" s="258"/>
      <c r="F5" s="10"/>
      <c r="G5" s="264"/>
      <c r="H5" s="220"/>
      <c r="I5" s="241"/>
      <c r="J5" s="207"/>
      <c r="K5" s="9"/>
      <c r="L5" s="10"/>
      <c r="M5" s="11"/>
      <c r="N5" s="63"/>
    </row>
    <row r="6" spans="1:14" s="1" customFormat="1" ht="12.75">
      <c r="A6" s="24" t="s">
        <v>2</v>
      </c>
      <c r="B6" s="55"/>
      <c r="C6" s="250"/>
      <c r="D6" s="84"/>
      <c r="E6" s="259"/>
      <c r="F6" s="84"/>
      <c r="G6" s="265"/>
      <c r="H6" s="221"/>
      <c r="I6" s="239"/>
      <c r="J6" s="208"/>
      <c r="K6" s="58"/>
      <c r="L6" s="56"/>
      <c r="M6" s="57"/>
      <c r="N6" s="64"/>
    </row>
    <row r="7" spans="1:14" ht="12.75">
      <c r="A7" s="25" t="s">
        <v>66</v>
      </c>
      <c r="B7" s="53">
        <v>32020211</v>
      </c>
      <c r="C7" s="251">
        <v>35776477</v>
      </c>
      <c r="D7" s="33"/>
      <c r="E7" s="260"/>
      <c r="F7" s="33">
        <v>29215824</v>
      </c>
      <c r="G7" s="266">
        <v>35125686</v>
      </c>
      <c r="H7" s="222">
        <f>SUM(B7,D7,F7)</f>
        <v>61236035</v>
      </c>
      <c r="I7" s="240">
        <f>SUM(C7,E7,G7)</f>
        <v>70902163</v>
      </c>
      <c r="J7" s="207"/>
      <c r="K7" s="54">
        <f>H7*(H58/100)</f>
        <v>36676242.17659551</v>
      </c>
      <c r="L7" s="33">
        <f>H7*(H61/100)</f>
        <v>24559792.82340449</v>
      </c>
      <c r="M7" s="62">
        <f>SUM(K7:L7)</f>
        <v>61236035</v>
      </c>
      <c r="N7" s="63"/>
    </row>
    <row r="8" spans="1:14" ht="12.75">
      <c r="A8" s="25" t="s">
        <v>23</v>
      </c>
      <c r="B8" s="53">
        <v>3336972</v>
      </c>
      <c r="C8" s="251"/>
      <c r="D8" s="33"/>
      <c r="E8" s="260"/>
      <c r="F8" s="33">
        <v>3363311</v>
      </c>
      <c r="G8" s="266"/>
      <c r="H8" s="222">
        <f aca="true" t="shared" si="0" ref="H8:H13">SUM(B8,D8,F8)</f>
        <v>6700283</v>
      </c>
      <c r="I8" s="240"/>
      <c r="J8" s="209"/>
      <c r="K8" s="54"/>
      <c r="L8" s="33">
        <f>H8</f>
        <v>6700283</v>
      </c>
      <c r="M8" s="62">
        <f>SUM(K8:L8)</f>
        <v>6700283</v>
      </c>
      <c r="N8" s="63" t="s">
        <v>43</v>
      </c>
    </row>
    <row r="9" spans="1:14" ht="12.75">
      <c r="A9" s="339" t="s">
        <v>89</v>
      </c>
      <c r="B9" s="53"/>
      <c r="C9" s="251">
        <v>7503366</v>
      </c>
      <c r="D9" s="33"/>
      <c r="E9" s="260"/>
      <c r="F9" s="33">
        <v>0</v>
      </c>
      <c r="G9" s="266">
        <v>4323189</v>
      </c>
      <c r="H9" s="222">
        <f t="shared" si="0"/>
        <v>0</v>
      </c>
      <c r="I9" s="240">
        <f>SUM(C9,E9,G9)</f>
        <v>11826555</v>
      </c>
      <c r="J9" s="209"/>
      <c r="K9" s="54">
        <f>H9*(H60/100)</f>
        <v>0</v>
      </c>
      <c r="L9" s="33">
        <f>H9*(H63/100)</f>
        <v>0</v>
      </c>
      <c r="M9" s="62">
        <f>SUM(K9:L9)</f>
        <v>0</v>
      </c>
      <c r="N9" s="63"/>
    </row>
    <row r="10" spans="1:14" ht="12.75">
      <c r="A10" s="25" t="s">
        <v>86</v>
      </c>
      <c r="B10" s="9">
        <v>2130251</v>
      </c>
      <c r="C10" s="252"/>
      <c r="D10" s="10"/>
      <c r="E10" s="260"/>
      <c r="F10" s="10">
        <v>335043</v>
      </c>
      <c r="G10" s="264"/>
      <c r="H10" s="222">
        <f t="shared" si="0"/>
        <v>2465294</v>
      </c>
      <c r="I10" s="241"/>
      <c r="J10" s="207"/>
      <c r="K10" s="54"/>
      <c r="L10" s="33"/>
      <c r="M10" s="62">
        <f>SUM(K10:L10)</f>
        <v>0</v>
      </c>
      <c r="N10" s="63" t="s">
        <v>81</v>
      </c>
    </row>
    <row r="11" spans="1:14" ht="26.25" customHeight="1">
      <c r="A11" s="25" t="s">
        <v>94</v>
      </c>
      <c r="B11" s="200">
        <v>0</v>
      </c>
      <c r="C11" s="257"/>
      <c r="D11" s="276"/>
      <c r="E11" s="260"/>
      <c r="F11" s="276"/>
      <c r="G11" s="271"/>
      <c r="H11" s="220">
        <f t="shared" si="0"/>
        <v>0</v>
      </c>
      <c r="I11" s="241">
        <v>1000000</v>
      </c>
      <c r="J11" s="207"/>
      <c r="K11" s="54"/>
      <c r="L11" s="33"/>
      <c r="M11" s="77"/>
      <c r="N11" s="65"/>
    </row>
    <row r="12" spans="1:14" ht="27" customHeight="1" thickBot="1">
      <c r="A12" s="25" t="s">
        <v>67</v>
      </c>
      <c r="B12" s="200">
        <v>-760289</v>
      </c>
      <c r="C12" s="277">
        <v>-785432</v>
      </c>
      <c r="D12" s="276"/>
      <c r="E12" s="260"/>
      <c r="F12" s="276">
        <v>-682585</v>
      </c>
      <c r="G12" s="278">
        <v>-1045634</v>
      </c>
      <c r="H12" s="222">
        <f t="shared" si="0"/>
        <v>-1442874</v>
      </c>
      <c r="I12" s="241">
        <f>SUM(C12,E12,G12)</f>
        <v>-1831066</v>
      </c>
      <c r="J12" s="207"/>
      <c r="K12" s="54" t="e">
        <f>H12*($D$46/100)</f>
        <v>#DIV/0!</v>
      </c>
      <c r="L12" s="33" t="e">
        <f>H12*($D$49/100)</f>
        <v>#DIV/0!</v>
      </c>
      <c r="M12" s="62" t="e">
        <f>SUM(K12:L12)</f>
        <v>#DIV/0!</v>
      </c>
      <c r="N12" s="65"/>
    </row>
    <row r="13" spans="1:14" s="37" customFormat="1" ht="12.75" customHeight="1" thickTop="1">
      <c r="A13" s="72" t="s">
        <v>30</v>
      </c>
      <c r="B13" s="93">
        <f>SUM(B7:B12)</f>
        <v>36727145</v>
      </c>
      <c r="C13" s="253">
        <f>SUM(C7:C12)</f>
        <v>42494411</v>
      </c>
      <c r="D13" s="93">
        <f>SUM(D7:D12)</f>
        <v>0</v>
      </c>
      <c r="E13" s="253" t="e">
        <f>SUM(E7,#REF!,E12)</f>
        <v>#REF!</v>
      </c>
      <c r="F13" s="93">
        <f>SUM(F7:F12)</f>
        <v>32231593</v>
      </c>
      <c r="G13" s="253">
        <f>SUM(G7:G12)</f>
        <v>38403241</v>
      </c>
      <c r="H13" s="223">
        <f t="shared" si="0"/>
        <v>68958738</v>
      </c>
      <c r="I13" s="242">
        <f>SUM(I7:I12)</f>
        <v>81897652</v>
      </c>
      <c r="J13" s="210"/>
      <c r="K13" s="73" t="e">
        <f>SUM(K7:K12)</f>
        <v>#DIV/0!</v>
      </c>
      <c r="L13" s="73" t="e">
        <f>SUM(L7:L12)</f>
        <v>#DIV/0!</v>
      </c>
      <c r="M13" s="73" t="e">
        <f>SUM(M7:M12)</f>
        <v>#DIV/0!</v>
      </c>
      <c r="N13" s="81"/>
    </row>
    <row r="14" spans="1:14" s="37" customFormat="1" ht="13.5" thickBot="1">
      <c r="A14" s="74" t="s">
        <v>64</v>
      </c>
      <c r="B14" s="82"/>
      <c r="C14" s="254"/>
      <c r="D14" s="75"/>
      <c r="E14" s="261"/>
      <c r="F14" s="75"/>
      <c r="G14" s="268"/>
      <c r="H14" s="224">
        <f>H13/H53</f>
        <v>373.2260505293239</v>
      </c>
      <c r="I14" s="243">
        <f>I13/I53</f>
        <v>381.6743166831877</v>
      </c>
      <c r="J14" s="184"/>
      <c r="K14" s="80" t="e">
        <f>K13/H46</f>
        <v>#DIV/0!</v>
      </c>
      <c r="L14" s="79" t="e">
        <f>L13/H49</f>
        <v>#DIV/0!</v>
      </c>
      <c r="M14" s="78" t="e">
        <f>M13/H53</f>
        <v>#DIV/0!</v>
      </c>
      <c r="N14" s="76"/>
    </row>
    <row r="15" spans="1:14" s="37" customFormat="1" ht="13.5" thickTop="1">
      <c r="A15" s="181" t="s">
        <v>52</v>
      </c>
      <c r="B15" s="123"/>
      <c r="C15" s="255"/>
      <c r="D15" s="41"/>
      <c r="E15" s="262"/>
      <c r="F15" s="41"/>
      <c r="G15" s="269"/>
      <c r="H15" s="40"/>
      <c r="I15" s="244"/>
      <c r="J15" s="211"/>
      <c r="K15" s="128"/>
      <c r="L15" s="129"/>
      <c r="M15" s="130"/>
      <c r="N15" s="124"/>
    </row>
    <row r="16" spans="1:14" ht="12.75">
      <c r="A16" s="28" t="s">
        <v>0</v>
      </c>
      <c r="B16" s="14"/>
      <c r="C16" s="256"/>
      <c r="D16" s="5"/>
      <c r="E16" s="263"/>
      <c r="F16" s="5"/>
      <c r="G16" s="270"/>
      <c r="H16" s="225"/>
      <c r="I16" s="245"/>
      <c r="J16" s="212"/>
      <c r="K16" s="70" t="e">
        <f>H16*($D$46/100)</f>
        <v>#DIV/0!</v>
      </c>
      <c r="L16" s="71"/>
      <c r="M16" s="15"/>
      <c r="N16" s="67"/>
    </row>
    <row r="17" spans="1:14" ht="12.75">
      <c r="A17" s="25" t="s">
        <v>1</v>
      </c>
      <c r="B17" s="9">
        <v>733300</v>
      </c>
      <c r="C17" s="335">
        <v>713380</v>
      </c>
      <c r="D17" s="10">
        <v>0</v>
      </c>
      <c r="E17" s="260"/>
      <c r="F17" s="10">
        <v>705570</v>
      </c>
      <c r="G17" s="267">
        <v>682592</v>
      </c>
      <c r="H17" s="222">
        <f>SUM(B17,D17,F17)</f>
        <v>1438870</v>
      </c>
      <c r="I17" s="241">
        <f>SUM(C17,E17,G17)</f>
        <v>1395972</v>
      </c>
      <c r="J17" s="213">
        <f>H17/H53</f>
        <v>7.787610140503562</v>
      </c>
      <c r="K17" s="54">
        <f>H17*($H$58/100)</f>
        <v>861785.7864350292</v>
      </c>
      <c r="L17" s="33">
        <f>H17*($H$61/100)</f>
        <v>577084.2135649708</v>
      </c>
      <c r="M17" s="62">
        <f>SUM(K17:L17)</f>
        <v>1438870</v>
      </c>
      <c r="N17" s="63"/>
    </row>
    <row r="18" spans="1:14" ht="12.75">
      <c r="A18" s="26" t="s">
        <v>6</v>
      </c>
      <c r="B18" s="54">
        <v>2420856</v>
      </c>
      <c r="C18" s="170">
        <v>1803664</v>
      </c>
      <c r="D18" s="52"/>
      <c r="E18" s="260"/>
      <c r="F18" s="52">
        <v>1418789</v>
      </c>
      <c r="G18" s="267">
        <v>677062</v>
      </c>
      <c r="H18" s="289">
        <f>SUM(B18,D18,F18)</f>
        <v>3839645</v>
      </c>
      <c r="I18" s="241">
        <f>SUM(C18,E18,G18)</f>
        <v>2480726</v>
      </c>
      <c r="J18" s="213">
        <f>H18/H53</f>
        <v>20.78134809811435</v>
      </c>
      <c r="K18" s="54">
        <f aca="true" t="shared" si="1" ref="K18:K27">H18*($H$58/100)</f>
        <v>2299687.5923164207</v>
      </c>
      <c r="L18" s="33">
        <f aca="true" t="shared" si="2" ref="L18:L27">H18*($H$61/100)</f>
        <v>1539957.4076835795</v>
      </c>
      <c r="M18" s="62">
        <f>SUM(K18:L18)</f>
        <v>3839645</v>
      </c>
      <c r="N18" s="63"/>
    </row>
    <row r="19" spans="1:14" ht="12.75">
      <c r="A19" s="26" t="s">
        <v>63</v>
      </c>
      <c r="B19" s="54"/>
      <c r="C19" s="335">
        <v>834696</v>
      </c>
      <c r="D19" s="52"/>
      <c r="E19" s="260"/>
      <c r="F19" s="52"/>
      <c r="G19" s="267">
        <v>592801</v>
      </c>
      <c r="H19" s="290">
        <v>0</v>
      </c>
      <c r="I19" s="241">
        <f>SUM(C19,E19,G19)</f>
        <v>1427497</v>
      </c>
      <c r="J19" s="213"/>
      <c r="K19" s="54"/>
      <c r="L19" s="33"/>
      <c r="M19" s="62"/>
      <c r="N19" s="63"/>
    </row>
    <row r="20" spans="1:14" ht="12.75">
      <c r="A20" s="26" t="s">
        <v>76</v>
      </c>
      <c r="B20" s="53">
        <v>101140</v>
      </c>
      <c r="C20" s="170">
        <v>41775</v>
      </c>
      <c r="D20" s="10"/>
      <c r="E20" s="260"/>
      <c r="F20" s="10">
        <v>85000</v>
      </c>
      <c r="G20" s="267">
        <v>21482</v>
      </c>
      <c r="H20" s="289">
        <f aca="true" t="shared" si="3" ref="H20:H27">SUM(B20,D20,F20)</f>
        <v>186140</v>
      </c>
      <c r="I20" s="241">
        <f>SUM(C20,E20,G20)</f>
        <v>63257</v>
      </c>
      <c r="J20" s="207"/>
      <c r="K20" s="54">
        <f t="shared" si="1"/>
        <v>111485.2671103132</v>
      </c>
      <c r="L20" s="33">
        <f t="shared" si="2"/>
        <v>74654.7328896868</v>
      </c>
      <c r="M20" s="62">
        <f>SUM(K20:L20)</f>
        <v>186140</v>
      </c>
      <c r="N20" s="63"/>
    </row>
    <row r="21" spans="1:14" ht="12.75">
      <c r="A21" s="26" t="s">
        <v>68</v>
      </c>
      <c r="B21" s="53"/>
      <c r="C21" s="170">
        <v>181288</v>
      </c>
      <c r="D21" s="10"/>
      <c r="E21" s="260"/>
      <c r="F21" s="10">
        <v>0</v>
      </c>
      <c r="G21" s="267">
        <v>171655</v>
      </c>
      <c r="H21" s="289">
        <f>SUM(B21,D21,F21)</f>
        <v>0</v>
      </c>
      <c r="I21" s="241">
        <f>SUM(C21,E21,G21)</f>
        <v>352943</v>
      </c>
      <c r="J21" s="207"/>
      <c r="K21" s="54">
        <f>H21*($H$58/100)</f>
        <v>0</v>
      </c>
      <c r="L21" s="33">
        <f>H21*($H$61/100)</f>
        <v>0</v>
      </c>
      <c r="M21" s="62">
        <f>SUM(K21:L21)</f>
        <v>0</v>
      </c>
      <c r="N21" s="63"/>
    </row>
    <row r="22" spans="1:14" ht="12.75">
      <c r="A22" s="26" t="s">
        <v>7</v>
      </c>
      <c r="B22" s="9">
        <v>238270</v>
      </c>
      <c r="C22" s="170">
        <v>314587</v>
      </c>
      <c r="D22" s="10"/>
      <c r="E22" s="260"/>
      <c r="F22" s="10">
        <v>247610</v>
      </c>
      <c r="G22" s="267">
        <v>321387</v>
      </c>
      <c r="H22" s="289">
        <f t="shared" si="3"/>
        <v>485880</v>
      </c>
      <c r="I22" s="241">
        <f aca="true" t="shared" si="4" ref="I22:I27">SUM(C22,E22,G22)</f>
        <v>635974</v>
      </c>
      <c r="J22" s="207"/>
      <c r="K22" s="54">
        <f t="shared" si="1"/>
        <v>291009.2488640753</v>
      </c>
      <c r="L22" s="33">
        <f t="shared" si="2"/>
        <v>194870.75113592471</v>
      </c>
      <c r="M22" s="62">
        <f aca="true" t="shared" si="5" ref="M22:M27">SUM(K22:L22)</f>
        <v>485880</v>
      </c>
      <c r="N22" s="63"/>
    </row>
    <row r="23" spans="1:14" ht="12.75">
      <c r="A23" s="26" t="s">
        <v>77</v>
      </c>
      <c r="B23" s="9">
        <v>599799</v>
      </c>
      <c r="C23" s="170">
        <f>C7*1.46%</f>
        <v>522336.5642</v>
      </c>
      <c r="D23" s="10"/>
      <c r="E23" s="260"/>
      <c r="F23" s="10">
        <v>526627</v>
      </c>
      <c r="G23" s="267">
        <f>G7*1.46%</f>
        <v>512835.0156</v>
      </c>
      <c r="H23" s="289">
        <f t="shared" si="3"/>
        <v>1126426</v>
      </c>
      <c r="I23" s="241">
        <f t="shared" si="4"/>
        <v>1035171.5798</v>
      </c>
      <c r="J23" s="207"/>
      <c r="K23" s="54">
        <f t="shared" si="1"/>
        <v>674652.9681422674</v>
      </c>
      <c r="L23" s="33">
        <f t="shared" si="2"/>
        <v>451773.0318577326</v>
      </c>
      <c r="M23" s="62">
        <f t="shared" si="5"/>
        <v>1126426</v>
      </c>
      <c r="N23" s="63" t="s">
        <v>78</v>
      </c>
    </row>
    <row r="24" spans="1:14" ht="12.75">
      <c r="A24" s="26" t="s">
        <v>50</v>
      </c>
      <c r="B24" s="9">
        <v>79794</v>
      </c>
      <c r="C24" s="170">
        <v>79794</v>
      </c>
      <c r="D24" s="10"/>
      <c r="E24" s="260"/>
      <c r="F24" s="10">
        <v>79794</v>
      </c>
      <c r="G24" s="267">
        <v>79794</v>
      </c>
      <c r="H24" s="291">
        <f t="shared" si="3"/>
        <v>159588</v>
      </c>
      <c r="I24" s="241">
        <f t="shared" si="4"/>
        <v>159588</v>
      </c>
      <c r="J24" s="207"/>
      <c r="K24" s="54">
        <f t="shared" si="1"/>
        <v>95582.41542710144</v>
      </c>
      <c r="L24" s="33">
        <f t="shared" si="2"/>
        <v>64005.58457289856</v>
      </c>
      <c r="M24" s="62">
        <f t="shared" si="5"/>
        <v>159588</v>
      </c>
      <c r="N24" s="63"/>
    </row>
    <row r="25" spans="1:14" ht="12.75">
      <c r="A25" s="26" t="s">
        <v>4</v>
      </c>
      <c r="B25" s="9">
        <v>210530</v>
      </c>
      <c r="C25" s="170">
        <v>167195</v>
      </c>
      <c r="D25" s="10"/>
      <c r="E25" s="260"/>
      <c r="F25" s="10">
        <v>204260</v>
      </c>
      <c r="G25" s="340">
        <f>69508+77174</f>
        <v>146682</v>
      </c>
      <c r="H25" s="291">
        <f t="shared" si="3"/>
        <v>414790</v>
      </c>
      <c r="I25" s="241">
        <f t="shared" si="4"/>
        <v>313877</v>
      </c>
      <c r="J25" s="207"/>
      <c r="K25" s="54">
        <f t="shared" si="1"/>
        <v>248431.14830067052</v>
      </c>
      <c r="L25" s="33">
        <f t="shared" si="2"/>
        <v>166358.85169932948</v>
      </c>
      <c r="M25" s="62">
        <f t="shared" si="5"/>
        <v>414790</v>
      </c>
      <c r="N25" s="63"/>
    </row>
    <row r="26" spans="1:14" ht="12.75">
      <c r="A26" s="26" t="s">
        <v>8</v>
      </c>
      <c r="B26" s="9">
        <v>0</v>
      </c>
      <c r="C26" s="170">
        <v>77819</v>
      </c>
      <c r="D26" s="10"/>
      <c r="E26" s="260"/>
      <c r="F26" s="10">
        <v>0</v>
      </c>
      <c r="G26" s="267">
        <v>17418</v>
      </c>
      <c r="H26" s="291">
        <f t="shared" si="3"/>
        <v>0</v>
      </c>
      <c r="I26" s="241">
        <f t="shared" si="4"/>
        <v>95237</v>
      </c>
      <c r="J26" s="280"/>
      <c r="K26" s="120">
        <f t="shared" si="1"/>
        <v>0</v>
      </c>
      <c r="L26" s="33">
        <f t="shared" si="2"/>
        <v>0</v>
      </c>
      <c r="M26" s="62">
        <f t="shared" si="5"/>
        <v>0</v>
      </c>
      <c r="N26" s="63" t="s">
        <v>28</v>
      </c>
    </row>
    <row r="27" spans="1:14" ht="13.5" thickBot="1">
      <c r="A27" s="27" t="s">
        <v>5</v>
      </c>
      <c r="B27" s="12">
        <v>77170</v>
      </c>
      <c r="C27" s="257">
        <v>45951</v>
      </c>
      <c r="D27" s="288"/>
      <c r="E27" s="260"/>
      <c r="F27" s="288">
        <v>80280</v>
      </c>
      <c r="G27" s="271">
        <v>37882</v>
      </c>
      <c r="H27" s="291">
        <f t="shared" si="3"/>
        <v>157450</v>
      </c>
      <c r="I27" s="241">
        <f t="shared" si="4"/>
        <v>83833</v>
      </c>
      <c r="J27" s="281"/>
      <c r="K27" s="120">
        <f t="shared" si="1"/>
        <v>94301.89806875907</v>
      </c>
      <c r="L27" s="33">
        <f t="shared" si="2"/>
        <v>63148.10193124093</v>
      </c>
      <c r="M27" s="83">
        <f t="shared" si="5"/>
        <v>157450</v>
      </c>
      <c r="N27" s="66" t="s">
        <v>28</v>
      </c>
    </row>
    <row r="28" spans="1:14" s="37" customFormat="1" ht="13.5" thickTop="1">
      <c r="A28" s="185" t="s">
        <v>31</v>
      </c>
      <c r="B28" s="186">
        <f>SUM(B17:B27)</f>
        <v>4460859</v>
      </c>
      <c r="C28" s="187">
        <f>SUM(C16:C27)</f>
        <v>4782485.5642</v>
      </c>
      <c r="D28" s="186">
        <f>SUM(D17:D27)</f>
        <v>0</v>
      </c>
      <c r="E28" s="260"/>
      <c r="F28" s="186">
        <f>SUM(F17:F27)</f>
        <v>3347930</v>
      </c>
      <c r="G28" s="201">
        <f>SUM(G16:G27)</f>
        <v>3261590.0156</v>
      </c>
      <c r="H28" s="228">
        <f>SUM(H17:H27)</f>
        <v>7808789</v>
      </c>
      <c r="I28" s="229">
        <f>SUM(I18:I27)</f>
        <v>6648103.5798</v>
      </c>
      <c r="J28" s="282">
        <f>H28/H53</f>
        <v>42.26358489749085</v>
      </c>
      <c r="K28" s="187" t="e">
        <f>SUM(K17,#REF!,#REF!,#REF!,K18,K20,K22,K23,K24,K25,K26,K27)</f>
        <v>#REF!</v>
      </c>
      <c r="L28" s="188" t="e">
        <f>SUM(L17,#REF!,#REF!,#REF!,L18,L20,L22,L23,L24,L25,L26,L27)</f>
        <v>#REF!</v>
      </c>
      <c r="M28" s="189" t="e">
        <f>SUM(K28:L28)</f>
        <v>#REF!</v>
      </c>
      <c r="N28" s="190" t="s">
        <v>53</v>
      </c>
    </row>
    <row r="29" spans="1:14" s="37" customFormat="1" ht="12.75">
      <c r="A29" s="179" t="s">
        <v>25</v>
      </c>
      <c r="B29" s="230">
        <f>B13+B28</f>
        <v>41188004</v>
      </c>
      <c r="C29" s="191">
        <f>SUM(C13,C28)</f>
        <v>47276896.5642</v>
      </c>
      <c r="D29" s="230">
        <f>D13+D28</f>
        <v>0</v>
      </c>
      <c r="E29" s="260"/>
      <c r="F29" s="230">
        <f>F13+F28</f>
        <v>35579523</v>
      </c>
      <c r="G29" s="182">
        <f>SUM(G13,G28)</f>
        <v>41664831.0156</v>
      </c>
      <c r="H29" s="230">
        <f>H13+H28</f>
        <v>76767527</v>
      </c>
      <c r="I29" s="230">
        <f>I13+I28</f>
        <v>88545755.5798</v>
      </c>
      <c r="J29" s="283"/>
      <c r="K29" s="191" t="e">
        <f>SUM(K13,K28)</f>
        <v>#DIV/0!</v>
      </c>
      <c r="L29" s="180" t="e">
        <f>SUM(L13,L28)</f>
        <v>#DIV/0!</v>
      </c>
      <c r="M29" s="192" t="e">
        <f>SUM(K29:L29)</f>
        <v>#DIV/0!</v>
      </c>
      <c r="N29" s="183"/>
    </row>
    <row r="30" spans="1:14" s="37" customFormat="1" ht="13.5" thickBot="1">
      <c r="A30" s="193" t="s">
        <v>65</v>
      </c>
      <c r="B30" s="194"/>
      <c r="C30" s="195"/>
      <c r="D30" s="196"/>
      <c r="E30" s="196"/>
      <c r="F30" s="196"/>
      <c r="G30" s="202"/>
      <c r="H30" s="231">
        <f>H29/H53</f>
        <v>415.48963542681474</v>
      </c>
      <c r="I30" s="232">
        <f>I29/I53</f>
        <v>412.6570167862288</v>
      </c>
      <c r="J30" s="284"/>
      <c r="K30" s="279"/>
      <c r="L30" s="197"/>
      <c r="M30" s="198"/>
      <c r="N30" s="199"/>
    </row>
    <row r="31" spans="1:14" ht="12.75">
      <c r="A31" s="23" t="s">
        <v>9</v>
      </c>
      <c r="B31" s="9"/>
      <c r="C31" s="119"/>
      <c r="D31" s="10"/>
      <c r="E31" s="10"/>
      <c r="F31" s="10"/>
      <c r="G31" s="142"/>
      <c r="H31" s="220"/>
      <c r="I31" s="241"/>
      <c r="J31" s="207"/>
      <c r="K31" s="54"/>
      <c r="L31" s="33"/>
      <c r="M31" s="11"/>
      <c r="N31" s="63"/>
    </row>
    <row r="32" spans="1:14" ht="38.25">
      <c r="A32" s="327" t="s">
        <v>74</v>
      </c>
      <c r="B32" s="220">
        <f>B13*0.019</f>
        <v>697815.755</v>
      </c>
      <c r="C32" s="336">
        <f>C13*1.9%</f>
        <v>807393.809</v>
      </c>
      <c r="D32" s="220">
        <f>D13*0.019</f>
        <v>0</v>
      </c>
      <c r="E32" s="10"/>
      <c r="F32" s="220">
        <f>F13*0.019</f>
        <v>612400.267</v>
      </c>
      <c r="G32" s="341">
        <f>G13*1.9%</f>
        <v>729661.579</v>
      </c>
      <c r="H32" s="220">
        <f>H13*0.019</f>
        <v>1310216.0219999999</v>
      </c>
      <c r="I32" s="332">
        <f>I13*0.019</f>
        <v>1556055.388</v>
      </c>
      <c r="J32" s="215">
        <f>H32/H53</f>
        <v>7.091294960057153</v>
      </c>
      <c r="K32" s="54">
        <f>H32*($H$58/100)</f>
        <v>784730.7574131405</v>
      </c>
      <c r="L32" s="33">
        <f>H32*($H$61/100)</f>
        <v>525485.2645868594</v>
      </c>
      <c r="M32" s="62">
        <f>SUM(K32:L32)</f>
        <v>1310216.0219999999</v>
      </c>
      <c r="N32" s="63"/>
    </row>
    <row r="33" spans="1:14" ht="25.5">
      <c r="A33" s="326" t="s">
        <v>73</v>
      </c>
      <c r="B33" s="220">
        <f>B13*0.2%</f>
        <v>73454.29000000001</v>
      </c>
      <c r="C33" s="336">
        <f>C13*0.2%</f>
        <v>84988.822</v>
      </c>
      <c r="D33" s="220">
        <f>D13*0.2%</f>
        <v>0</v>
      </c>
      <c r="E33" s="10"/>
      <c r="F33" s="220">
        <f>F13*0.2%</f>
        <v>64463.186</v>
      </c>
      <c r="G33" s="341">
        <f>G13*0.2%</f>
        <v>76806.482</v>
      </c>
      <c r="H33" s="220">
        <f>H13*0.2%</f>
        <v>137917.476</v>
      </c>
      <c r="I33" s="332">
        <f>I13*0.2%</f>
        <v>163795.304</v>
      </c>
      <c r="J33" s="207"/>
      <c r="K33" s="54"/>
      <c r="L33" s="33"/>
      <c r="M33" s="11"/>
      <c r="N33" s="325"/>
    </row>
    <row r="34" spans="1:14" ht="21" customHeight="1">
      <c r="A34" s="24" t="s">
        <v>75</v>
      </c>
      <c r="B34" s="330">
        <f>SUM(B32:B33)</f>
        <v>771270.045</v>
      </c>
      <c r="C34" s="337">
        <f>SUM(C32:C33)</f>
        <v>892382.631</v>
      </c>
      <c r="D34" s="330">
        <f>SUM(D32:D33)</f>
        <v>0</v>
      </c>
      <c r="E34" s="329"/>
      <c r="F34" s="330">
        <f>SUM(F32:F33)</f>
        <v>676863.453</v>
      </c>
      <c r="G34" s="342">
        <f>SUM(G32:G33)</f>
        <v>806468.061</v>
      </c>
      <c r="H34" s="330">
        <f>SUM(H32:H33)</f>
        <v>1448133.498</v>
      </c>
      <c r="I34" s="333">
        <f>SUM(I32:I33)</f>
        <v>1719850.692</v>
      </c>
      <c r="J34" s="215">
        <f>H34/H53</f>
        <v>7.8377470611158016</v>
      </c>
      <c r="K34" s="54">
        <f>H34*($H$58/100)</f>
        <v>867333.9950355764</v>
      </c>
      <c r="L34" s="33">
        <f>H34*($H$61/100)</f>
        <v>580799.5029644235</v>
      </c>
      <c r="M34" s="62">
        <f>SUM(K34:L34)</f>
        <v>1448133.498</v>
      </c>
      <c r="N34" s="131" t="s">
        <v>54</v>
      </c>
    </row>
    <row r="35" spans="1:14" ht="21" customHeight="1">
      <c r="A35" s="328" t="s">
        <v>13</v>
      </c>
      <c r="B35" s="12"/>
      <c r="C35" s="155"/>
      <c r="D35" s="3"/>
      <c r="E35" s="3"/>
      <c r="F35" s="3"/>
      <c r="G35" s="142"/>
      <c r="H35" s="227"/>
      <c r="I35" s="247"/>
      <c r="J35" s="216"/>
      <c r="K35" s="68"/>
      <c r="L35" s="69"/>
      <c r="M35" s="83"/>
      <c r="N35" s="131"/>
    </row>
    <row r="36" spans="1:14" ht="15.75" customHeight="1">
      <c r="A36" s="27"/>
      <c r="B36" s="331"/>
      <c r="C36" s="155"/>
      <c r="D36" s="331">
        <f>(D29+D34)*3.1%</f>
        <v>0</v>
      </c>
      <c r="E36" s="3"/>
      <c r="F36" s="331"/>
      <c r="G36" s="114"/>
      <c r="H36" s="331">
        <v>0</v>
      </c>
      <c r="I36" s="334">
        <v>0</v>
      </c>
      <c r="J36" s="216"/>
      <c r="K36" s="68"/>
      <c r="L36" s="69"/>
      <c r="M36" s="13"/>
      <c r="N36" s="131"/>
    </row>
    <row r="37" spans="1:14" ht="13.5" thickBot="1">
      <c r="A37" s="29"/>
      <c r="B37" s="12"/>
      <c r="C37" s="155"/>
      <c r="D37" s="3"/>
      <c r="E37" s="3"/>
      <c r="F37" s="3"/>
      <c r="G37" s="203"/>
      <c r="H37" s="226"/>
      <c r="I37" s="246"/>
      <c r="J37" s="214"/>
      <c r="K37" s="68"/>
      <c r="L37" s="3"/>
      <c r="M37" s="13"/>
      <c r="N37" s="66"/>
    </row>
    <row r="38" spans="1:14" s="1" customFormat="1" ht="14.25" thickBot="1" thickTop="1">
      <c r="A38" s="30" t="s">
        <v>55</v>
      </c>
      <c r="B38" s="31"/>
      <c r="C38" s="156"/>
      <c r="D38" s="32"/>
      <c r="E38" s="32"/>
      <c r="F38" s="32"/>
      <c r="G38" s="204"/>
      <c r="H38" s="233">
        <f>H34+H36</f>
        <v>1448133.498</v>
      </c>
      <c r="I38" s="248">
        <f>I34</f>
        <v>1719850.692</v>
      </c>
      <c r="J38" s="217" t="e">
        <f>(H38+H28+H17+#REF!-H18)/H53</f>
        <v>#REF!</v>
      </c>
      <c r="K38" s="103">
        <f>SUM(K32:K37)</f>
        <v>1652064.752448717</v>
      </c>
      <c r="L38" s="59">
        <f>SUM(L32:L37)</f>
        <v>1106284.767551283</v>
      </c>
      <c r="M38" s="102">
        <f>SUM(K38:L38)</f>
        <v>2758349.5199999996</v>
      </c>
      <c r="N38" s="104"/>
    </row>
    <row r="39" spans="1:14" s="1" customFormat="1" ht="13.5" thickTop="1">
      <c r="A39" s="90" t="s">
        <v>32</v>
      </c>
      <c r="B39" s="234">
        <f>B29+B34</f>
        <v>41959274.045</v>
      </c>
      <c r="C39" s="338">
        <f>C29+C34</f>
        <v>48169279.195199996</v>
      </c>
      <c r="D39" s="234">
        <f>SUM(D29,D38)</f>
        <v>0</v>
      </c>
      <c r="E39" s="91"/>
      <c r="F39" s="234">
        <f>F29+F34</f>
        <v>36256386.453</v>
      </c>
      <c r="G39" s="343">
        <f>G29+G34</f>
        <v>42471299.0766</v>
      </c>
      <c r="H39" s="234">
        <f>SUM(H29,H38)</f>
        <v>78215660.498</v>
      </c>
      <c r="I39" s="235">
        <f>SUM(I29,I38)</f>
        <v>90265606.2718</v>
      </c>
      <c r="J39" s="218"/>
      <c r="K39" s="106" t="e">
        <f>SUM(K38,K29)</f>
        <v>#DIV/0!</v>
      </c>
      <c r="L39" s="92" t="e">
        <f>SUM(L38,L29)</f>
        <v>#DIV/0!</v>
      </c>
      <c r="M39" s="105" t="e">
        <f>SUM(K39:L39)</f>
        <v>#DIV/0!</v>
      </c>
      <c r="N39" s="107"/>
    </row>
    <row r="40" spans="1:14" s="1" customFormat="1" ht="13.5" thickBot="1">
      <c r="A40" s="85" t="s">
        <v>91</v>
      </c>
      <c r="B40" s="86"/>
      <c r="C40" s="157"/>
      <c r="D40" s="87"/>
      <c r="E40" s="87"/>
      <c r="F40" s="87"/>
      <c r="G40" s="205"/>
      <c r="H40" s="236">
        <f>H39/H53</f>
        <v>423.32738248793055</v>
      </c>
      <c r="I40" s="237">
        <f>I39/I53</f>
        <v>420.67217743657574</v>
      </c>
      <c r="J40" s="219"/>
      <c r="K40" s="108" t="e">
        <f>K39/H46</f>
        <v>#DIV/0!</v>
      </c>
      <c r="L40" s="88" t="e">
        <f>L39/H49</f>
        <v>#DIV/0!</v>
      </c>
      <c r="M40" s="109" t="e">
        <f>M39/H53</f>
        <v>#DIV/0!</v>
      </c>
      <c r="N40" s="89"/>
    </row>
    <row r="41" spans="1:14" ht="13.5" thickBot="1">
      <c r="A41" s="2"/>
      <c r="B41" s="2"/>
      <c r="C41" s="2"/>
      <c r="D41" s="2"/>
      <c r="E41" s="2"/>
      <c r="F41" s="2"/>
      <c r="G41" s="2"/>
      <c r="H41" s="60"/>
      <c r="I41" s="175">
        <f>(I40-H40)/H40*100</f>
        <v>-0.627222608599035</v>
      </c>
      <c r="J41" s="176" t="s">
        <v>90</v>
      </c>
      <c r="K41" s="173"/>
      <c r="L41" s="172"/>
      <c r="M41" s="172"/>
      <c r="N41" s="174"/>
    </row>
    <row r="42" ht="11.25" customHeight="1" thickBot="1" thickTop="1"/>
    <row r="43" spans="1:11" ht="12.75" outlineLevel="1">
      <c r="A43" s="38"/>
      <c r="B43" s="349"/>
      <c r="C43" s="350"/>
      <c r="D43" s="351"/>
      <c r="E43" s="352"/>
      <c r="F43" s="353"/>
      <c r="G43" s="140"/>
      <c r="H43" s="349">
        <v>2012</v>
      </c>
      <c r="I43" s="350"/>
      <c r="J43" s="351"/>
      <c r="K43" s="353"/>
    </row>
    <row r="44" spans="1:11" ht="54" customHeight="1" outlineLevel="1" thickBot="1">
      <c r="A44" s="110" t="s">
        <v>36</v>
      </c>
      <c r="B44" s="50" t="s">
        <v>18</v>
      </c>
      <c r="C44" s="169" t="s">
        <v>62</v>
      </c>
      <c r="D44" s="44" t="s">
        <v>27</v>
      </c>
      <c r="E44" s="161"/>
      <c r="F44" s="45" t="s">
        <v>27</v>
      </c>
      <c r="G44" s="162"/>
      <c r="H44" s="177" t="s">
        <v>82</v>
      </c>
      <c r="I44" s="178" t="s">
        <v>83</v>
      </c>
      <c r="J44" s="44" t="s">
        <v>27</v>
      </c>
      <c r="K44" s="45" t="s">
        <v>19</v>
      </c>
    </row>
    <row r="45" spans="1:11" ht="12.75" outlineLevel="1">
      <c r="A45" s="16"/>
      <c r="B45" s="39"/>
      <c r="C45" s="144"/>
      <c r="D45" s="4"/>
      <c r="E45" s="114"/>
      <c r="F45" s="34"/>
      <c r="G45" s="2"/>
      <c r="H45" s="39"/>
      <c r="I45" s="272"/>
      <c r="J45" s="4"/>
      <c r="K45" s="34"/>
    </row>
    <row r="46" spans="1:13" s="37" customFormat="1" ht="12.75" outlineLevel="1">
      <c r="A46" s="18" t="s">
        <v>10</v>
      </c>
      <c r="B46" s="40">
        <v>0</v>
      </c>
      <c r="C46" s="145"/>
      <c r="D46" s="51" t="e">
        <f aca="true" t="shared" si="6" ref="D46:D52">B46/$B$53*100</f>
        <v>#DIV/0!</v>
      </c>
      <c r="E46" s="147"/>
      <c r="F46" s="36" t="e">
        <f>SUM(F47:F48)</f>
        <v>#DIV/0!</v>
      </c>
      <c r="G46" s="163"/>
      <c r="H46" s="40">
        <f>SUM(H47:H48)</f>
        <v>110907</v>
      </c>
      <c r="I46" s="273">
        <f>SUM(I47:I48)</f>
        <v>116339.69999999998</v>
      </c>
      <c r="J46" s="51">
        <f aca="true" t="shared" si="7" ref="J46:J52">H46/$H$53*100</f>
        <v>60.026303825420534</v>
      </c>
      <c r="K46" s="36">
        <f>SUM(K47:K48)</f>
        <v>100</v>
      </c>
      <c r="L46" s="273">
        <f>SUM(L47:L48)</f>
        <v>109301.4</v>
      </c>
      <c r="M46" s="37" t="s">
        <v>87</v>
      </c>
    </row>
    <row r="47" spans="1:12" ht="12.75" outlineLevel="1">
      <c r="A47" s="17" t="s">
        <v>11</v>
      </c>
      <c r="B47" s="42">
        <v>0</v>
      </c>
      <c r="C47" s="136"/>
      <c r="D47" s="46" t="e">
        <f t="shared" si="6"/>
        <v>#DIV/0!</v>
      </c>
      <c r="E47" s="148"/>
      <c r="F47" s="48" t="e">
        <f>B47/B46*100</f>
        <v>#DIV/0!</v>
      </c>
      <c r="G47" s="164"/>
      <c r="H47" s="127">
        <v>25034</v>
      </c>
      <c r="I47" s="292">
        <f>11786.8+11232.8</f>
        <v>23019.6</v>
      </c>
      <c r="J47" s="46">
        <f t="shared" si="7"/>
        <v>13.549176246454936</v>
      </c>
      <c r="K47" s="48">
        <f>H47/H46*100</f>
        <v>22.57206488319042</v>
      </c>
      <c r="L47" s="292">
        <f>14204.7+12392.3</f>
        <v>26597</v>
      </c>
    </row>
    <row r="48" spans="1:12" ht="12.75" outlineLevel="1">
      <c r="A48" s="17" t="s">
        <v>12</v>
      </c>
      <c r="B48" s="42">
        <v>0</v>
      </c>
      <c r="C48" s="136"/>
      <c r="D48" s="46" t="e">
        <f t="shared" si="6"/>
        <v>#DIV/0!</v>
      </c>
      <c r="E48" s="148"/>
      <c r="F48" s="48" t="e">
        <f>B48/B46*100</f>
        <v>#DIV/0!</v>
      </c>
      <c r="G48" s="164"/>
      <c r="H48" s="127">
        <v>85873</v>
      </c>
      <c r="I48" s="292">
        <f>36827.4+39508+9827.9+6780.1+191.4+185.3</f>
        <v>93320.09999999999</v>
      </c>
      <c r="J48" s="46">
        <f t="shared" si="7"/>
        <v>46.4771275789656</v>
      </c>
      <c r="K48" s="48">
        <f>H48/H46*100</f>
        <v>77.42793511680958</v>
      </c>
      <c r="L48" s="292">
        <f>41247.2+1811.1+652.2+31442.2+7190+361.7</f>
        <v>82704.4</v>
      </c>
    </row>
    <row r="49" spans="1:12" s="37" customFormat="1" ht="12.75" outlineLevel="1">
      <c r="A49" s="18" t="s">
        <v>14</v>
      </c>
      <c r="B49" s="40">
        <v>0</v>
      </c>
      <c r="C49" s="145"/>
      <c r="D49" s="51" t="e">
        <f t="shared" si="6"/>
        <v>#DIV/0!</v>
      </c>
      <c r="E49" s="147"/>
      <c r="F49" s="49" t="e">
        <f>SUM(F50:F52)</f>
        <v>#DIV/0!</v>
      </c>
      <c r="G49" s="165"/>
      <c r="H49" s="40">
        <f>SUM(H50:H52)</f>
        <v>73857</v>
      </c>
      <c r="I49" s="273">
        <f>SUM(I50:I52)</f>
        <v>98235</v>
      </c>
      <c r="J49" s="51">
        <f t="shared" si="7"/>
        <v>39.973696174579466</v>
      </c>
      <c r="K49" s="49">
        <f>SUM(K50:K52)</f>
        <v>99.99999999999999</v>
      </c>
      <c r="L49" s="40">
        <f>SUM(L50:L52)</f>
        <v>69443.90000000001</v>
      </c>
    </row>
    <row r="50" spans="1:12" ht="12.75" outlineLevel="1">
      <c r="A50" s="17" t="s">
        <v>15</v>
      </c>
      <c r="B50" s="42">
        <v>0</v>
      </c>
      <c r="C50" s="136"/>
      <c r="D50" s="46" t="e">
        <f t="shared" si="6"/>
        <v>#DIV/0!</v>
      </c>
      <c r="E50" s="148"/>
      <c r="F50" s="48" t="e">
        <f>B50/B49*100</f>
        <v>#DIV/0!</v>
      </c>
      <c r="G50" s="164"/>
      <c r="H50" s="127">
        <v>27353</v>
      </c>
      <c r="I50" s="274">
        <f>13083.7+13784.2+3766+2709.2+25.3+10.2</f>
        <v>33378.6</v>
      </c>
      <c r="J50" s="46">
        <f t="shared" si="7"/>
        <v>14.804290879175596</v>
      </c>
      <c r="K50" s="48">
        <f>H50/H49*100</f>
        <v>37.035081305766546</v>
      </c>
      <c r="L50" s="274">
        <f>13049.2+442.6+131.2+10330.4+2233.2+52.1</f>
        <v>26238.7</v>
      </c>
    </row>
    <row r="51" spans="1:12" ht="12.75" outlineLevel="1">
      <c r="A51" s="17" t="s">
        <v>16</v>
      </c>
      <c r="B51" s="42">
        <v>0</v>
      </c>
      <c r="C51" s="136"/>
      <c r="D51" s="46" t="e">
        <f t="shared" si="6"/>
        <v>#DIV/0!</v>
      </c>
      <c r="E51" s="148"/>
      <c r="F51" s="48" t="e">
        <f>B51/B49*100</f>
        <v>#DIV/0!</v>
      </c>
      <c r="G51" s="164"/>
      <c r="H51" s="127">
        <v>39068</v>
      </c>
      <c r="I51" s="274">
        <f>18913.2+743.7+18654.9+2606+6873.3+4867+22.9+7.4</f>
        <v>52688.40000000001</v>
      </c>
      <c r="J51" s="46">
        <f t="shared" si="7"/>
        <v>21.14481175986664</v>
      </c>
      <c r="K51" s="48">
        <f>H51/H49*100</f>
        <v>52.89681411376037</v>
      </c>
      <c r="L51" s="274">
        <f>19890.6+750.7+114.4+14047.3+4222.4+123.8</f>
        <v>39149.200000000004</v>
      </c>
    </row>
    <row r="52" spans="1:12" ht="12.75" outlineLevel="1">
      <c r="A52" s="17" t="s">
        <v>17</v>
      </c>
      <c r="B52" s="42">
        <v>0</v>
      </c>
      <c r="C52" s="136"/>
      <c r="D52" s="46" t="e">
        <f t="shared" si="6"/>
        <v>#DIV/0!</v>
      </c>
      <c r="E52" s="148"/>
      <c r="F52" s="48" t="e">
        <f>B52/B49*100</f>
        <v>#DIV/0!</v>
      </c>
      <c r="G52" s="164"/>
      <c r="H52" s="127">
        <v>7436</v>
      </c>
      <c r="I52" s="274">
        <f>4056+8112</f>
        <v>12168</v>
      </c>
      <c r="J52" s="46">
        <f t="shared" si="7"/>
        <v>4.0245935355372255</v>
      </c>
      <c r="K52" s="48">
        <f>H52/H49*100</f>
        <v>10.068104580473076</v>
      </c>
      <c r="L52" s="274">
        <f>1352+2704</f>
        <v>4056</v>
      </c>
    </row>
    <row r="53" spans="1:12" s="1" customFormat="1" ht="13.5" outlineLevel="1" thickBot="1">
      <c r="A53" s="19" t="s">
        <v>13</v>
      </c>
      <c r="B53" s="43">
        <v>0</v>
      </c>
      <c r="C53" s="146"/>
      <c r="D53" s="47" t="e">
        <f>SUM(D46,D49)</f>
        <v>#DIV/0!</v>
      </c>
      <c r="E53" s="149"/>
      <c r="F53" s="35"/>
      <c r="G53" s="166"/>
      <c r="H53" s="171">
        <f>SUM(H46,H49)</f>
        <v>184764</v>
      </c>
      <c r="I53" s="275">
        <f>I46+I49</f>
        <v>214574.69999999998</v>
      </c>
      <c r="J53" s="47">
        <f>SUM(J46,J49)</f>
        <v>100</v>
      </c>
      <c r="K53" s="35"/>
      <c r="L53" s="275">
        <f>L46+L49</f>
        <v>178745.3</v>
      </c>
    </row>
    <row r="54" spans="4:5" ht="12.75">
      <c r="D54" s="61"/>
      <c r="E54" s="61"/>
    </row>
    <row r="55" spans="1:14" ht="12.75" hidden="1" outlineLevel="1">
      <c r="A55" s="38"/>
      <c r="B55" s="358">
        <v>2006</v>
      </c>
      <c r="C55" s="359"/>
      <c r="D55" s="359"/>
      <c r="E55" s="359"/>
      <c r="F55" s="359"/>
      <c r="G55" s="359"/>
      <c r="H55" s="359"/>
      <c r="I55" s="359"/>
      <c r="J55" s="359"/>
      <c r="K55" s="359" t="s">
        <v>60</v>
      </c>
      <c r="L55" s="359"/>
      <c r="M55" s="125"/>
      <c r="N55" s="126"/>
    </row>
    <row r="56" spans="1:14" ht="69.75" customHeight="1" hidden="1" outlineLevel="1" thickBot="1">
      <c r="A56" s="110" t="s">
        <v>35</v>
      </c>
      <c r="B56" s="50" t="s">
        <v>18</v>
      </c>
      <c r="C56" s="143"/>
      <c r="D56" s="97" t="s">
        <v>29</v>
      </c>
      <c r="E56" s="97"/>
      <c r="F56" s="97" t="s">
        <v>33</v>
      </c>
      <c r="G56" s="97"/>
      <c r="H56" s="97" t="s">
        <v>34</v>
      </c>
      <c r="I56" s="97"/>
      <c r="J56" s="97" t="s">
        <v>42</v>
      </c>
      <c r="K56" s="97" t="s">
        <v>44</v>
      </c>
      <c r="L56" s="97" t="s">
        <v>45</v>
      </c>
      <c r="M56" s="356" t="s">
        <v>49</v>
      </c>
      <c r="N56" s="357"/>
    </row>
    <row r="57" spans="1:14" ht="12.75" hidden="1" outlineLevel="1">
      <c r="A57" s="16"/>
      <c r="B57" s="39"/>
      <c r="C57" s="144"/>
      <c r="D57" s="4"/>
      <c r="E57" s="4"/>
      <c r="F57" s="4"/>
      <c r="G57" s="4"/>
      <c r="H57" s="4"/>
      <c r="I57" s="4"/>
      <c r="J57" s="4"/>
      <c r="K57" s="4"/>
      <c r="L57" s="114"/>
      <c r="M57" s="354"/>
      <c r="N57" s="355"/>
    </row>
    <row r="58" spans="1:14" ht="24.75" customHeight="1" hidden="1" outlineLevel="1">
      <c r="A58" s="18" t="s">
        <v>10</v>
      </c>
      <c r="B58" s="40">
        <f>SUM(B59:B60)</f>
        <v>118152</v>
      </c>
      <c r="C58" s="145"/>
      <c r="D58" s="94"/>
      <c r="E58" s="94"/>
      <c r="F58" s="94"/>
      <c r="G58" s="94"/>
      <c r="H58" s="51">
        <f>SUM(H59:H60)</f>
        <v>59.89323472134587</v>
      </c>
      <c r="I58" s="51"/>
      <c r="J58" s="51"/>
      <c r="K58" s="101">
        <f>H7*H70/100*'[1]Ark1'!$L$13/100</f>
        <v>1595377.993941009</v>
      </c>
      <c r="L58" s="115" t="e">
        <f>#REF!*H70/100*'[1]Ark1'!$L$13/100</f>
        <v>#REF!</v>
      </c>
      <c r="M58" s="354" t="s">
        <v>47</v>
      </c>
      <c r="N58" s="355"/>
    </row>
    <row r="59" spans="1:14" ht="12.75" hidden="1" outlineLevel="1">
      <c r="A59" s="17" t="s">
        <v>11</v>
      </c>
      <c r="B59" s="42">
        <v>30215</v>
      </c>
      <c r="C59" s="136"/>
      <c r="D59" s="4">
        <v>60.6</v>
      </c>
      <c r="E59" s="4"/>
      <c r="F59" s="96">
        <f>B59/D59*100</f>
        <v>49859.73597359736</v>
      </c>
      <c r="G59" s="96"/>
      <c r="H59" s="46">
        <f>F59/$F$65*100</f>
        <v>15.316491359481562</v>
      </c>
      <c r="I59" s="46"/>
      <c r="J59" s="46"/>
      <c r="K59" s="101"/>
      <c r="L59" s="114"/>
      <c r="M59" s="354"/>
      <c r="N59" s="355"/>
    </row>
    <row r="60" spans="1:14" ht="12.75" hidden="1" outlineLevel="1">
      <c r="A60" s="17" t="s">
        <v>12</v>
      </c>
      <c r="B60" s="42">
        <v>87937</v>
      </c>
      <c r="C60" s="136"/>
      <c r="D60" s="4">
        <v>60.6</v>
      </c>
      <c r="E60" s="4"/>
      <c r="F60" s="96">
        <f>B60/D60*100</f>
        <v>145110.5610561056</v>
      </c>
      <c r="G60" s="96"/>
      <c r="H60" s="46">
        <f>F60/$F$65*100</f>
        <v>44.57674336186431</v>
      </c>
      <c r="I60" s="46"/>
      <c r="J60" s="46"/>
      <c r="K60" s="101"/>
      <c r="L60" s="114"/>
      <c r="M60" s="354"/>
      <c r="N60" s="355"/>
    </row>
    <row r="61" spans="1:14" ht="12.75" hidden="1" outlineLevel="1">
      <c r="A61" s="18" t="s">
        <v>14</v>
      </c>
      <c r="B61" s="40">
        <f>SUM(B62:B64)</f>
        <v>68246</v>
      </c>
      <c r="C61" s="145"/>
      <c r="D61" s="94"/>
      <c r="E61" s="94"/>
      <c r="F61" s="94"/>
      <c r="G61" s="94"/>
      <c r="H61" s="51">
        <f>SUM(H62:H64)</f>
        <v>40.10676527865413</v>
      </c>
      <c r="I61" s="51"/>
      <c r="J61" s="51"/>
      <c r="K61" s="101"/>
      <c r="L61" s="114"/>
      <c r="M61" s="354"/>
      <c r="N61" s="355"/>
    </row>
    <row r="62" spans="1:14" ht="25.5" customHeight="1" hidden="1" outlineLevel="1">
      <c r="A62" s="17" t="s">
        <v>15</v>
      </c>
      <c r="B62" s="42">
        <v>21992</v>
      </c>
      <c r="C62" s="136"/>
      <c r="D62" s="4">
        <v>63.4</v>
      </c>
      <c r="E62" s="4"/>
      <c r="F62" s="96">
        <f>B62/D62*100</f>
        <v>34687.69716088328</v>
      </c>
      <c r="G62" s="96"/>
      <c r="H62" s="46">
        <f>F62/$F$65*100</f>
        <v>10.655768697337715</v>
      </c>
      <c r="I62" s="46"/>
      <c r="J62" s="46">
        <f>F62/($F$62+$F$63+$F$64)*100</f>
        <v>26.568506892299776</v>
      </c>
      <c r="K62" s="101">
        <f>H7*H74/100*'[1]Ark1'!$L$13/100</f>
        <v>397925.2362413533</v>
      </c>
      <c r="L62" s="116" t="e">
        <f>(#REF!*H74/100*'[1]Ark1'!$L$13/100)*2</f>
        <v>#REF!</v>
      </c>
      <c r="M62" s="354" t="s">
        <v>48</v>
      </c>
      <c r="N62" s="355"/>
    </row>
    <row r="63" spans="1:14" ht="15.75" customHeight="1" hidden="1" outlineLevel="1">
      <c r="A63" s="17" t="s">
        <v>16</v>
      </c>
      <c r="B63" s="42">
        <v>38186</v>
      </c>
      <c r="C63" s="136"/>
      <c r="D63" s="4">
        <v>53.3</v>
      </c>
      <c r="E63" s="4"/>
      <c r="F63" s="96">
        <f>B63/D63*100</f>
        <v>71643.52720450283</v>
      </c>
      <c r="G63" s="96"/>
      <c r="H63" s="46">
        <f>F63/$F$65*100</f>
        <v>22.00828873164565</v>
      </c>
      <c r="I63" s="46"/>
      <c r="J63" s="46">
        <f>F63/($F$62+$F$63+$F$64)*100</f>
        <v>54.874255200428834</v>
      </c>
      <c r="K63" s="101">
        <f>H7*H75/100*'[1]Ark1'!$L$20/100</f>
        <v>2903217.9527235115</v>
      </c>
      <c r="L63" s="116" t="e">
        <f>(#REF!*H75/100*'[1]Ark1'!$L$20/100)*2</f>
        <v>#REF!</v>
      </c>
      <c r="M63" s="363" t="s">
        <v>46</v>
      </c>
      <c r="N63" s="355"/>
    </row>
    <row r="64" spans="1:14" ht="12.75" hidden="1" outlineLevel="1">
      <c r="A64" s="17" t="s">
        <v>17</v>
      </c>
      <c r="B64" s="42">
        <v>8068</v>
      </c>
      <c r="C64" s="136"/>
      <c r="D64" s="4">
        <v>33.3</v>
      </c>
      <c r="E64" s="4"/>
      <c r="F64" s="96">
        <f>B64/D64*100</f>
        <v>24228.22822822823</v>
      </c>
      <c r="G64" s="96"/>
      <c r="H64" s="46">
        <f>F64/$F$65*100</f>
        <v>7.442707849670767</v>
      </c>
      <c r="I64" s="46"/>
      <c r="J64" s="46">
        <f>F64/($F$62+$F$63+$F$64)*100</f>
        <v>18.5572379072714</v>
      </c>
      <c r="K64" s="101">
        <f>H7*H76/100*'[1]Ark1'!$L$25/100</f>
        <v>1088356.88010207</v>
      </c>
      <c r="L64" s="116" t="e">
        <f>(#REF!*H76/100*'[1]Ark1'!$L$25/100)*2</f>
        <v>#REF!</v>
      </c>
      <c r="M64" s="363" t="s">
        <v>46</v>
      </c>
      <c r="N64" s="355"/>
    </row>
    <row r="65" spans="1:14" ht="13.5" hidden="1" outlineLevel="1" thickBot="1">
      <c r="A65" s="19" t="s">
        <v>13</v>
      </c>
      <c r="B65" s="43">
        <f>SUM(B58,B61)</f>
        <v>186398</v>
      </c>
      <c r="C65" s="146"/>
      <c r="D65" s="20">
        <v>56.8</v>
      </c>
      <c r="E65" s="20"/>
      <c r="F65" s="99">
        <f>SUM(F59:F64)</f>
        <v>325529.7496233173</v>
      </c>
      <c r="G65" s="99"/>
      <c r="H65" s="47">
        <f>SUM(H59:H60,H62:H64)</f>
        <v>100</v>
      </c>
      <c r="I65" s="47"/>
      <c r="J65" s="47">
        <f>SUM(J62:J64)</f>
        <v>100.00000000000001</v>
      </c>
      <c r="K65" s="113">
        <f>SUM(K58:K64)</f>
        <v>5984878.063007943</v>
      </c>
      <c r="L65" s="117" t="e">
        <f>SUM(L58:L64)</f>
        <v>#REF!</v>
      </c>
      <c r="M65" s="364"/>
      <c r="N65" s="365"/>
    </row>
    <row r="66" ht="13.5" collapsed="1" thickBot="1"/>
    <row r="67" spans="1:14" ht="12.75" hidden="1" outlineLevel="1">
      <c r="A67" s="38"/>
      <c r="B67" s="358">
        <v>2007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60"/>
    </row>
    <row r="68" spans="1:14" ht="51.75" hidden="1" outlineLevel="1" thickBot="1">
      <c r="A68" s="110" t="s">
        <v>35</v>
      </c>
      <c r="B68" s="50" t="s">
        <v>18</v>
      </c>
      <c r="C68" s="143"/>
      <c r="D68" s="97" t="s">
        <v>29</v>
      </c>
      <c r="E68" s="97"/>
      <c r="F68" s="97" t="s">
        <v>33</v>
      </c>
      <c r="G68" s="139"/>
      <c r="H68" s="98" t="s">
        <v>34</v>
      </c>
      <c r="I68" s="139"/>
      <c r="J68" s="97" t="s">
        <v>42</v>
      </c>
      <c r="K68" s="97"/>
      <c r="L68" s="97"/>
      <c r="M68" s="356"/>
      <c r="N68" s="357"/>
    </row>
    <row r="69" spans="1:14" ht="12.75" hidden="1" outlineLevel="1">
      <c r="A69" s="16"/>
      <c r="B69" s="39"/>
      <c r="C69" s="144"/>
      <c r="D69" s="4"/>
      <c r="E69" s="4"/>
      <c r="F69" s="4"/>
      <c r="G69" s="114"/>
      <c r="H69" s="34"/>
      <c r="I69" s="114"/>
      <c r="J69" s="4"/>
      <c r="K69" s="4"/>
      <c r="L69" s="114"/>
      <c r="M69" s="354"/>
      <c r="N69" s="355"/>
    </row>
    <row r="70" spans="1:14" ht="12.75" hidden="1" outlineLevel="1">
      <c r="A70" s="18" t="s">
        <v>10</v>
      </c>
      <c r="B70" s="40">
        <f>SUM(B71:B72)</f>
        <v>106117.28870335763</v>
      </c>
      <c r="C70" s="145"/>
      <c r="D70" s="94"/>
      <c r="E70" s="94"/>
      <c r="F70" s="94"/>
      <c r="G70" s="167"/>
      <c r="H70" s="95">
        <f>SUM(H71:H72)</f>
        <v>57.16956030673891</v>
      </c>
      <c r="I70" s="147"/>
      <c r="J70" s="51">
        <f>SUM(J71:J72)</f>
        <v>100</v>
      </c>
      <c r="K70" s="101"/>
      <c r="L70" s="115"/>
      <c r="M70" s="354"/>
      <c r="N70" s="355"/>
    </row>
    <row r="71" spans="1:14" ht="12.75" hidden="1" outlineLevel="1">
      <c r="A71" s="17" t="s">
        <v>11</v>
      </c>
      <c r="B71" s="42">
        <f>'[2]Samlet bilag 2'!$G$6</f>
        <v>30446.768050580104</v>
      </c>
      <c r="C71" s="136"/>
      <c r="D71" s="46">
        <f>'[2]Samlet bilag 1'!$C$10</f>
        <v>66.19157032535006</v>
      </c>
      <c r="E71" s="46"/>
      <c r="F71" s="96">
        <f>B71/D71*100</f>
        <v>45997.95397046139</v>
      </c>
      <c r="G71" s="168"/>
      <c r="H71" s="48">
        <f>F71/$F$77*100</f>
        <v>16.40287236398131</v>
      </c>
      <c r="I71" s="148"/>
      <c r="J71" s="46">
        <f>H71/H70*100</f>
        <v>28.691618889445625</v>
      </c>
      <c r="K71" s="101"/>
      <c r="L71" s="114"/>
      <c r="M71" s="354"/>
      <c r="N71" s="355"/>
    </row>
    <row r="72" spans="1:14" ht="12.75" hidden="1" outlineLevel="1">
      <c r="A72" s="17" t="s">
        <v>12</v>
      </c>
      <c r="B72" s="42">
        <f>'[2]Samlet bilag 2'!$G$7</f>
        <v>75670.52065277753</v>
      </c>
      <c r="C72" s="136"/>
      <c r="D72" s="46">
        <f>'[2]Samlet bilag 1'!$C$10</f>
        <v>66.19157032535006</v>
      </c>
      <c r="E72" s="46"/>
      <c r="F72" s="96">
        <f>B72/D72*100</f>
        <v>114320.47960312133</v>
      </c>
      <c r="G72" s="168"/>
      <c r="H72" s="48">
        <f>F72/$F$77*100</f>
        <v>40.7666879427576</v>
      </c>
      <c r="I72" s="148"/>
      <c r="J72" s="46">
        <f>H72/H70*100</f>
        <v>71.30838111055438</v>
      </c>
      <c r="K72" s="101"/>
      <c r="L72" s="114"/>
      <c r="M72" s="354"/>
      <c r="N72" s="355"/>
    </row>
    <row r="73" spans="1:14" ht="12.75" hidden="1" outlineLevel="1">
      <c r="A73" s="18" t="s">
        <v>14</v>
      </c>
      <c r="B73" s="40">
        <f>SUM(B74:B76)</f>
        <v>64211.85955898826</v>
      </c>
      <c r="C73" s="145"/>
      <c r="D73" s="51"/>
      <c r="E73" s="51"/>
      <c r="F73" s="94"/>
      <c r="G73" s="167"/>
      <c r="H73" s="95">
        <f>SUM(H74:H76)</f>
        <v>42.83043969326109</v>
      </c>
      <c r="I73" s="147"/>
      <c r="J73" s="51"/>
      <c r="K73" s="101"/>
      <c r="L73" s="114"/>
      <c r="M73" s="354"/>
      <c r="N73" s="355"/>
    </row>
    <row r="74" spans="1:14" ht="12.75" hidden="1" outlineLevel="1">
      <c r="A74" s="17" t="s">
        <v>15</v>
      </c>
      <c r="B74" s="42">
        <f>'[2]Samlet bilag 2'!$G$16</f>
        <v>25647.65435789196</v>
      </c>
      <c r="C74" s="136"/>
      <c r="D74" s="46">
        <f>'[2]Samlet bilag 1'!$C$15</f>
        <v>64.13960867265996</v>
      </c>
      <c r="E74" s="46"/>
      <c r="F74" s="96">
        <f>B74/D74*100</f>
        <v>39987.23236492786</v>
      </c>
      <c r="G74" s="168"/>
      <c r="H74" s="48">
        <f>F74/$F$77*100</f>
        <v>14.259448780960525</v>
      </c>
      <c r="I74" s="148"/>
      <c r="J74" s="46">
        <f>F74/($F$76+$F$75+$F$74)*100</f>
        <v>33.29279102218533</v>
      </c>
      <c r="K74" s="101"/>
      <c r="L74" s="116"/>
      <c r="M74" s="354"/>
      <c r="N74" s="355"/>
    </row>
    <row r="75" spans="1:14" ht="12.75" hidden="1" outlineLevel="1">
      <c r="A75" s="17" t="s">
        <v>16</v>
      </c>
      <c r="B75" s="42">
        <f>'[2]Samlet bilag 2'!$G$22</f>
        <v>31229.448698912212</v>
      </c>
      <c r="C75" s="136"/>
      <c r="D75" s="46">
        <f>'[2]Samlet bilag 1'!$C$20</f>
        <v>55.142357693615295</v>
      </c>
      <c r="E75" s="46"/>
      <c r="F75" s="96">
        <f>B75/D75*100</f>
        <v>56634.22821423564</v>
      </c>
      <c r="G75" s="168"/>
      <c r="H75" s="48">
        <f>F75/$F$77*100</f>
        <v>20.19576821671788</v>
      </c>
      <c r="I75" s="148"/>
      <c r="J75" s="46">
        <f>F75/($F$76+$F$75+$F$74)*100</f>
        <v>47.15283887196579</v>
      </c>
      <c r="K75" s="101"/>
      <c r="L75" s="116"/>
      <c r="M75" s="363"/>
      <c r="N75" s="355"/>
    </row>
    <row r="76" spans="1:14" ht="12.75" hidden="1" outlineLevel="1">
      <c r="A76" s="17" t="s">
        <v>17</v>
      </c>
      <c r="B76" s="42">
        <f>'[2]Samlet bilag 2'!$G$31</f>
        <v>7334.7565021840865</v>
      </c>
      <c r="C76" s="136"/>
      <c r="D76" s="46">
        <f>'[2]Samlet bilag 1'!$C$22</f>
        <v>31.229909689269856</v>
      </c>
      <c r="E76" s="46"/>
      <c r="F76" s="96">
        <f>B76/D76*100</f>
        <v>23486.319925876065</v>
      </c>
      <c r="G76" s="168"/>
      <c r="H76" s="48">
        <f>F76/$F$77*100</f>
        <v>8.375222695582686</v>
      </c>
      <c r="I76" s="148"/>
      <c r="J76" s="46">
        <f>F76/($F$76+$F$75+$F$74)*100</f>
        <v>19.554370105848896</v>
      </c>
      <c r="K76" s="101"/>
      <c r="L76" s="116"/>
      <c r="M76" s="363"/>
      <c r="N76" s="355"/>
    </row>
    <row r="77" spans="1:14" ht="13.5" hidden="1" outlineLevel="1" thickBot="1">
      <c r="A77" s="19" t="s">
        <v>13</v>
      </c>
      <c r="B77" s="43">
        <f>SUM(B70,B73)</f>
        <v>170329.14826234587</v>
      </c>
      <c r="C77" s="146"/>
      <c r="D77" s="47">
        <f>'[2]Samlet bilag 1'!$C$24</f>
        <v>61.92484341772418</v>
      </c>
      <c r="E77" s="47"/>
      <c r="F77" s="99">
        <f>SUM(F71:F76)</f>
        <v>280426.2140786223</v>
      </c>
      <c r="G77" s="117"/>
      <c r="H77" s="100">
        <f>SUM(H71:H72,H74:H76)</f>
        <v>100</v>
      </c>
      <c r="I77" s="149"/>
      <c r="J77" s="47">
        <f>SUM(J74:J76)</f>
        <v>100.00000000000003</v>
      </c>
      <c r="K77" s="113"/>
      <c r="L77" s="117"/>
      <c r="M77" s="364"/>
      <c r="N77" s="365"/>
    </row>
    <row r="78" spans="1:7" ht="27" customHeight="1" collapsed="1" thickBot="1">
      <c r="A78" s="294"/>
      <c r="B78" s="361" t="s">
        <v>88</v>
      </c>
      <c r="C78" s="362"/>
      <c r="D78" s="367" t="s">
        <v>95</v>
      </c>
      <c r="E78" s="368"/>
      <c r="F78" s="361" t="s">
        <v>92</v>
      </c>
      <c r="G78" s="362"/>
    </row>
    <row r="79" spans="1:7" ht="13.5" thickBot="1">
      <c r="A79" s="132"/>
      <c r="B79" s="302" t="s">
        <v>69</v>
      </c>
      <c r="C79" s="303" t="s">
        <v>70</v>
      </c>
      <c r="D79" s="308" t="s">
        <v>69</v>
      </c>
      <c r="E79" s="309" t="s">
        <v>70</v>
      </c>
      <c r="F79" s="307" t="s">
        <v>69</v>
      </c>
      <c r="G79" s="303" t="s">
        <v>70</v>
      </c>
    </row>
    <row r="80" spans="1:10" ht="27" customHeight="1" hidden="1" outlineLevel="1" thickBot="1">
      <c r="A80" s="295" t="s">
        <v>56</v>
      </c>
      <c r="B80" s="17"/>
      <c r="C80" s="301"/>
      <c r="D80" s="310" t="s">
        <v>57</v>
      </c>
      <c r="E80" s="311"/>
      <c r="F80" s="295" t="s">
        <v>58</v>
      </c>
      <c r="G80" s="298"/>
      <c r="H80" s="158" t="s">
        <v>59</v>
      </c>
      <c r="I80" s="150"/>
      <c r="J80" s="133"/>
    </row>
    <row r="81" spans="1:10" ht="12.75" hidden="1" outlineLevel="1">
      <c r="A81" s="132"/>
      <c r="B81" s="17"/>
      <c r="C81" s="287"/>
      <c r="D81" s="312"/>
      <c r="E81" s="313"/>
      <c r="F81" s="132"/>
      <c r="G81" s="287"/>
      <c r="H81" s="144"/>
      <c r="I81" s="114"/>
      <c r="J81" s="34"/>
    </row>
    <row r="82" spans="1:10" ht="12.75" hidden="1" outlineLevel="1">
      <c r="A82" s="137">
        <f>'[2]Bilag 2 - Virksomhed Midt'!$L$10/37</f>
        <v>29.88065847018703</v>
      </c>
      <c r="B82" s="17"/>
      <c r="C82" s="299"/>
      <c r="D82" s="314">
        <f>'[2]Bilag 2 Virksomhed Vest'!$L$10/37</f>
        <v>27.69092622568198</v>
      </c>
      <c r="E82" s="315"/>
      <c r="F82" s="137">
        <f>'[2]Bilag 2 - Virksomhed Øst'!$L$10/37</f>
        <v>25.717118202994794</v>
      </c>
      <c r="G82" s="299"/>
      <c r="H82" s="159">
        <f>SUM(A82:F82)</f>
        <v>83.2887028988638</v>
      </c>
      <c r="I82" s="151"/>
      <c r="J82" s="34"/>
    </row>
    <row r="83" spans="1:10" ht="12.75" hidden="1" outlineLevel="1">
      <c r="A83" s="137">
        <f>'[2]Bilag 2 - Virksomhed Midt'!$L$16/37</f>
        <v>6.633202289087862</v>
      </c>
      <c r="B83" s="17"/>
      <c r="C83" s="299"/>
      <c r="D83" s="314">
        <f>'[2]Bilag 2 Virksomhed Vest'!$L$16/37</f>
        <v>6.353524067306535</v>
      </c>
      <c r="E83" s="315"/>
      <c r="F83" s="137">
        <f>'[2]Bilag 2 - Virksomhed Øst'!$L$16/37</f>
        <v>6.22947748415948</v>
      </c>
      <c r="G83" s="299"/>
      <c r="H83" s="159">
        <f>SUM(A83:F83)</f>
        <v>19.216203840553874</v>
      </c>
      <c r="I83" s="151"/>
      <c r="J83" s="34"/>
    </row>
    <row r="84" spans="1:10" ht="12.75" hidden="1" outlineLevel="1">
      <c r="A84" s="137">
        <f>'[2]Bilag 2 - Virksomhed Midt'!$L$22/37</f>
        <v>10.480401314864539</v>
      </c>
      <c r="B84" s="17"/>
      <c r="C84" s="299"/>
      <c r="D84" s="314">
        <f>'[2]Bilag 2 Virksomhed Vest'!$L$22/37</f>
        <v>9.94662077089293</v>
      </c>
      <c r="E84" s="315"/>
      <c r="F84" s="137">
        <f>'[2]Bilag 2 - Virksomhed Øst'!$L$22/37</f>
        <v>9.026653052817371</v>
      </c>
      <c r="G84" s="299"/>
      <c r="H84" s="159">
        <f>SUM(A84:F84)</f>
        <v>29.453675138574837</v>
      </c>
      <c r="I84" s="151"/>
      <c r="J84" s="34"/>
    </row>
    <row r="85" spans="1:10" ht="12.75" hidden="1" outlineLevel="1">
      <c r="A85" s="137">
        <f>H85/'[2]Samlet bilag 2'!$X$28*'[2]Samlet bilag 2'!$O$28</f>
        <v>5.772218780983084</v>
      </c>
      <c r="B85" s="17"/>
      <c r="C85" s="299"/>
      <c r="D85" s="314">
        <f>H85/'[2]Samlet bilag 2'!$X$28*'[2]Samlet bilag 2'!$R$28</f>
        <v>3.050869350571873</v>
      </c>
      <c r="E85" s="315"/>
      <c r="F85" s="137">
        <f>H85/'[2]Samlet bilag 2'!$X$28*'[2]Samlet bilag 2'!$U$28</f>
        <v>3.383938856946115</v>
      </c>
      <c r="G85" s="299"/>
      <c r="H85" s="159">
        <f>'[2]Bilag 2 - Nat'!$L$18/37</f>
        <v>12.207026988501072</v>
      </c>
      <c r="I85" s="151"/>
      <c r="J85" s="134"/>
    </row>
    <row r="86" spans="1:10" s="1" customFormat="1" ht="12.75" hidden="1" outlineLevel="1">
      <c r="A86" s="296">
        <f>SUM(A82:A85)</f>
        <v>52.76648085512251</v>
      </c>
      <c r="B86" s="16"/>
      <c r="C86" s="300"/>
      <c r="D86" s="316">
        <f>SUM(D82:D85)</f>
        <v>47.041940414453315</v>
      </c>
      <c r="E86" s="317"/>
      <c r="F86" s="296">
        <f>SUM(F82:F85)</f>
        <v>44.35718759691776</v>
      </c>
      <c r="G86" s="300"/>
      <c r="H86" s="160">
        <f>SUM(H82:H85)</f>
        <v>144.16560886649359</v>
      </c>
      <c r="I86" s="152"/>
      <c r="J86" s="135">
        <f>SUM(A86:F86)</f>
        <v>144.16560886649359</v>
      </c>
    </row>
    <row r="87" spans="1:10" ht="13.5" hidden="1" outlineLevel="1" thickBot="1">
      <c r="A87" s="297"/>
      <c r="B87" s="17"/>
      <c r="C87" s="293"/>
      <c r="D87" s="318"/>
      <c r="E87" s="319"/>
      <c r="F87" s="297"/>
      <c r="G87" s="293"/>
      <c r="H87" s="306"/>
      <c r="I87" s="153"/>
      <c r="J87" s="118">
        <v>128.21</v>
      </c>
    </row>
    <row r="88" spans="1:7" ht="12.75" collapsed="1">
      <c r="A88" s="138" t="s">
        <v>61</v>
      </c>
      <c r="B88" s="294"/>
      <c r="C88" s="287"/>
      <c r="D88" s="320"/>
      <c r="E88" s="321"/>
      <c r="F88" s="132"/>
      <c r="G88" s="287"/>
    </row>
    <row r="89" spans="1:7" ht="12.75">
      <c r="A89" s="132" t="s">
        <v>38</v>
      </c>
      <c r="B89" s="137">
        <v>304.41</v>
      </c>
      <c r="C89" s="299">
        <v>320.94</v>
      </c>
      <c r="D89" s="322">
        <f>B89+(B89*$D$97)</f>
        <v>302.58354</v>
      </c>
      <c r="E89" s="322">
        <f>C89+(C89*$D$97)</f>
        <v>319.01436</v>
      </c>
      <c r="F89" s="132">
        <v>310.05</v>
      </c>
      <c r="G89" s="287">
        <v>328.73</v>
      </c>
    </row>
    <row r="90" spans="1:9" ht="12.75">
      <c r="A90" s="132" t="s">
        <v>39</v>
      </c>
      <c r="B90" s="137">
        <v>388.63</v>
      </c>
      <c r="C90" s="299">
        <v>405.16</v>
      </c>
      <c r="D90" s="322">
        <f>B90+(B90*$D$97)</f>
        <v>386.29822</v>
      </c>
      <c r="E90" s="322">
        <f>C90+(C90*$D$97)</f>
        <v>402.72904</v>
      </c>
      <c r="F90" s="132">
        <v>396.04</v>
      </c>
      <c r="G90" s="287">
        <v>414.72</v>
      </c>
      <c r="I90" s="111"/>
    </row>
    <row r="91" spans="1:7" ht="12.75">
      <c r="A91" s="132"/>
      <c r="B91" s="137"/>
      <c r="C91" s="299"/>
      <c r="D91" s="322"/>
      <c r="E91" s="323"/>
      <c r="F91" s="132"/>
      <c r="G91" s="287"/>
    </row>
    <row r="92" spans="1:7" ht="12.75">
      <c r="A92" s="132" t="s">
        <v>71</v>
      </c>
      <c r="B92" s="137"/>
      <c r="C92" s="299"/>
      <c r="D92" s="322"/>
      <c r="E92" s="323"/>
      <c r="F92" s="132"/>
      <c r="G92" s="287"/>
    </row>
    <row r="93" spans="1:7" ht="12.75">
      <c r="A93" s="132" t="s">
        <v>40</v>
      </c>
      <c r="B93" s="137">
        <v>413.45</v>
      </c>
      <c r="C93" s="299">
        <v>429.98</v>
      </c>
      <c r="D93" s="322">
        <f aca="true" t="shared" si="8" ref="D93:E95">B93+(B93*$D$97)</f>
        <v>410.9693</v>
      </c>
      <c r="E93" s="322">
        <f t="shared" si="8"/>
        <v>427.40012</v>
      </c>
      <c r="F93" s="132">
        <v>408.45</v>
      </c>
      <c r="G93" s="287">
        <v>427.13</v>
      </c>
    </row>
    <row r="94" spans="1:7" ht="12.75">
      <c r="A94" s="132" t="s">
        <v>72</v>
      </c>
      <c r="B94" s="137">
        <v>499.2</v>
      </c>
      <c r="C94" s="299">
        <v>485.45</v>
      </c>
      <c r="D94" s="322">
        <f t="shared" si="8"/>
        <v>496.2048</v>
      </c>
      <c r="E94" s="322">
        <f t="shared" si="8"/>
        <v>482.5373</v>
      </c>
      <c r="F94" s="132">
        <v>453.55</v>
      </c>
      <c r="G94" s="299">
        <v>472.23</v>
      </c>
    </row>
    <row r="95" spans="1:7" ht="13.5" thickBot="1">
      <c r="A95" s="297" t="s">
        <v>41</v>
      </c>
      <c r="B95" s="304">
        <v>669.89</v>
      </c>
      <c r="C95" s="305">
        <v>669.89</v>
      </c>
      <c r="D95" s="324">
        <f t="shared" si="8"/>
        <v>665.87066</v>
      </c>
      <c r="E95" s="324">
        <f t="shared" si="8"/>
        <v>665.87066</v>
      </c>
      <c r="F95" s="297">
        <v>574.97</v>
      </c>
      <c r="G95" s="293">
        <v>574.97</v>
      </c>
    </row>
    <row r="97" spans="2:4" ht="12.75">
      <c r="B97" s="112"/>
      <c r="D97" s="286">
        <v>-0.006</v>
      </c>
    </row>
  </sheetData>
  <sheetProtection/>
  <mergeCells count="31">
    <mergeCell ref="A1:L1"/>
    <mergeCell ref="M71:N71"/>
    <mergeCell ref="M72:N72"/>
    <mergeCell ref="M73:N73"/>
    <mergeCell ref="B78:C78"/>
    <mergeCell ref="D78:E78"/>
    <mergeCell ref="M76:N76"/>
    <mergeCell ref="M77:N77"/>
    <mergeCell ref="M75:N75"/>
    <mergeCell ref="M74:N74"/>
    <mergeCell ref="F78:G78"/>
    <mergeCell ref="M70:N70"/>
    <mergeCell ref="M68:N68"/>
    <mergeCell ref="M62:N62"/>
    <mergeCell ref="M63:N63"/>
    <mergeCell ref="M64:N64"/>
    <mergeCell ref="M65:N65"/>
    <mergeCell ref="M58:N58"/>
    <mergeCell ref="M59:N59"/>
    <mergeCell ref="M60:N60"/>
    <mergeCell ref="M61:N61"/>
    <mergeCell ref="B67:N67"/>
    <mergeCell ref="M69:N69"/>
    <mergeCell ref="K3:M3"/>
    <mergeCell ref="B3:J3"/>
    <mergeCell ref="B43:F43"/>
    <mergeCell ref="H43:K43"/>
    <mergeCell ref="M57:N57"/>
    <mergeCell ref="M56:N56"/>
    <mergeCell ref="B55:J55"/>
    <mergeCell ref="K55:L55"/>
  </mergeCells>
  <printOptions/>
  <pageMargins left="0.7874015748031497" right="0.7874015748031497" top="0.9055118110236221" bottom="0.984251968503937" header="0.31496062992125984" footer="0.2362204724409449"/>
  <pageSetup fitToHeight="1" fitToWidth="1" horizontalDpi="600" verticalDpi="600" orientation="landscape" pageOrder="overThenDown" paperSize="8" scale="73" r:id="rId3"/>
  <headerFooter alignWithMargins="0">
    <oddHeader>&amp;C&amp;"Arial,Fed"Varde Kommune - kontrolberegning 2011 på fritvalgsområdet</oddHeader>
    <oddFooter>&amp;LVarde (Kopi af Incitare beregning) dok.nr. 15696-13 sagnr. 13270&amp;C15.02.2013&amp;RSide &amp;P af &amp;N</oddFooter>
  </headerFooter>
  <rowBreaks count="1" manualBreakCount="1">
    <brk id="41" max="255" man="1"/>
  </rowBreaks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Incitare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kontrolberegning 2011 Frit Valg</dc:title>
  <dc:subject>ØVRIGE</dc:subject>
  <dc:creator>SOPO</dc:creator>
  <cp:keywords/>
  <dc:description/>
  <cp:lastModifiedBy>Søren Poulsen</cp:lastModifiedBy>
  <cp:lastPrinted>2013-02-14T15:55:17Z</cp:lastPrinted>
  <dcterms:created xsi:type="dcterms:W3CDTF">2002-06-25T09:00:14Z</dcterms:created>
  <dcterms:modified xsi:type="dcterms:W3CDTF">2013-02-14T15:57:09Z</dcterms:modified>
  <cp:category/>
  <cp:version/>
  <cp:contentType/>
  <cp:contentStatus/>
</cp:coreProperties>
</file>